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excel\estadisticas fiscales\"/>
    </mc:Choice>
  </mc:AlternateContent>
  <bookViews>
    <workbookView xWindow="0" yWindow="0" windowWidth="24000" windowHeight="8835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I7" i="1" l="1"/>
  <c r="N30" i="1" l="1"/>
  <c r="N29" i="1"/>
  <c r="N24" i="1"/>
  <c r="N20" i="1"/>
  <c r="N19" i="1"/>
  <c r="N14" i="1"/>
  <c r="N18" i="1"/>
  <c r="N17" i="1"/>
  <c r="N16" i="1"/>
  <c r="N15" i="1"/>
  <c r="N25" i="1" l="1"/>
  <c r="N26" i="1"/>
  <c r="N27" i="1"/>
  <c r="N28" i="1"/>
  <c r="B10" i="1" l="1"/>
  <c r="C30" i="1" l="1"/>
  <c r="C29" i="1"/>
  <c r="C24" i="1"/>
  <c r="C19" i="1"/>
  <c r="C14" i="1"/>
  <c r="C20" i="1" s="1"/>
  <c r="C9" i="1"/>
  <c r="C8" i="1"/>
  <c r="C7" i="1"/>
  <c r="H19" i="1" l="1"/>
  <c r="D19" i="1"/>
  <c r="E19" i="1" s="1"/>
  <c r="F19" i="1" s="1"/>
  <c r="G19" i="1" s="1"/>
  <c r="C10" i="1"/>
  <c r="D7" i="1"/>
  <c r="D8" i="1"/>
  <c r="E8" i="1" s="1"/>
  <c r="F8" i="1" s="1"/>
  <c r="G8" i="1" s="1"/>
  <c r="H8" i="1" s="1"/>
  <c r="D9" i="1"/>
  <c r="E9" i="1" s="1"/>
  <c r="F9" i="1" s="1"/>
  <c r="G9" i="1" s="1"/>
  <c r="H9" i="1" s="1"/>
  <c r="D24" i="1"/>
  <c r="D14" i="1"/>
  <c r="D29" i="1"/>
  <c r="E29" i="1" s="1"/>
  <c r="F29" i="1" s="1"/>
  <c r="G29" i="1" s="1"/>
  <c r="B30" i="1"/>
  <c r="B20" i="1"/>
  <c r="H29" i="1" l="1"/>
  <c r="J29" i="1" s="1"/>
  <c r="I8" i="1"/>
  <c r="I19" i="1"/>
  <c r="I29" i="1"/>
  <c r="E24" i="1"/>
  <c r="D30" i="1"/>
  <c r="I9" i="1"/>
  <c r="J9" i="1" s="1"/>
  <c r="J19" i="1"/>
  <c r="E14" i="1"/>
  <c r="D20" i="1"/>
  <c r="J8" i="1"/>
  <c r="D10" i="1"/>
  <c r="E7" i="1"/>
  <c r="K19" i="1"/>
  <c r="K29" i="1" l="1"/>
  <c r="L29" i="1" s="1"/>
  <c r="M29" i="1" s="1"/>
  <c r="K8" i="1"/>
  <c r="K9" i="1"/>
  <c r="F14" i="1"/>
  <c r="E20" i="1"/>
  <c r="E10" i="1"/>
  <c r="F7" i="1"/>
  <c r="M19" i="1"/>
  <c r="F24" i="1"/>
  <c r="E30" i="1"/>
  <c r="M9" i="1" l="1"/>
  <c r="N9" i="1" s="1"/>
  <c r="G7" i="1"/>
  <c r="F10" i="1"/>
  <c r="L8" i="1"/>
  <c r="M8" i="1" s="1"/>
  <c r="N8" i="1" s="1"/>
  <c r="G24" i="1"/>
  <c r="F30" i="1"/>
  <c r="L9" i="1"/>
  <c r="G14" i="1"/>
  <c r="F20" i="1"/>
  <c r="G20" i="1" l="1"/>
  <c r="H14" i="1"/>
  <c r="H20" i="1" s="1"/>
  <c r="I14" i="1"/>
  <c r="G30" i="1"/>
  <c r="H24" i="1"/>
  <c r="H30" i="1" s="1"/>
  <c r="H7" i="1"/>
  <c r="G10" i="1"/>
  <c r="I20" i="1" l="1"/>
  <c r="H10" i="1"/>
  <c r="I10" i="1"/>
  <c r="J14" i="1"/>
  <c r="J20" i="1" s="1"/>
  <c r="I24" i="1"/>
  <c r="K14" i="1" l="1"/>
  <c r="K20" i="1" s="1"/>
  <c r="J7" i="1"/>
  <c r="K7" i="1" s="1"/>
  <c r="K10" i="1" s="1"/>
  <c r="I30" i="1"/>
  <c r="J24" i="1"/>
  <c r="J30" i="1" s="1"/>
  <c r="K24" i="1" l="1"/>
  <c r="J10" i="1"/>
  <c r="L7" i="1"/>
  <c r="L14" i="1"/>
  <c r="L20" i="1" l="1"/>
  <c r="M14" i="1"/>
  <c r="M20" i="1" s="1"/>
  <c r="K30" i="1"/>
  <c r="L24" i="1"/>
  <c r="L10" i="1"/>
  <c r="M7" i="1"/>
  <c r="L30" i="1" l="1"/>
  <c r="M24" i="1"/>
  <c r="M30" i="1" s="1"/>
  <c r="M10" i="1"/>
  <c r="N7" i="1"/>
  <c r="N10" i="1" s="1"/>
</calcChain>
</file>

<file path=xl/sharedStrings.xml><?xml version="1.0" encoding="utf-8"?>
<sst xmlns="http://schemas.openxmlformats.org/spreadsheetml/2006/main" count="67" uniqueCount="36">
  <si>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</si>
  <si>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</si>
  <si>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</si>
  <si>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</si>
  <si>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</si>
  <si>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</si>
  <si>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</si>
  <si>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</si>
  <si>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</si>
  <si>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</si>
  <si>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</si>
  <si>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</si>
  <si>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</si>
  <si>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DEUDA ANDA</t>
  </si>
  <si>
    <t>febrero</t>
  </si>
  <si>
    <t>marzo</t>
  </si>
  <si>
    <t>abril</t>
  </si>
  <si>
    <t>enero</t>
  </si>
  <si>
    <t>mayo</t>
  </si>
  <si>
    <t>junio</t>
  </si>
  <si>
    <t>NOTAS DE CREDITO DEL TESORO PUBLICO 2018</t>
  </si>
  <si>
    <t>NCTP EMITIDAS POR TIPO AL   (EN MILLONES DE US$)</t>
  </si>
  <si>
    <t>PAGO DE IMPUESTOS CON NCTP POR TIPO DE DEVOLUCION   (EN MILLONES DE US$)</t>
  </si>
  <si>
    <t>DIRECCION DE POLÍTICA ECONÓMICA Y FISCAL</t>
  </si>
  <si>
    <t>fuente: Dirección General de Tesorería</t>
  </si>
  <si>
    <t>julio</t>
  </si>
  <si>
    <t>agosto</t>
  </si>
  <si>
    <t>Octubre</t>
  </si>
  <si>
    <t>Noviem</t>
  </si>
  <si>
    <t>Diciembre</t>
  </si>
  <si>
    <t>Sept</t>
  </si>
  <si>
    <t>sept</t>
  </si>
  <si>
    <t>octubre</t>
  </si>
  <si>
    <t>al 31/12/2018</t>
  </si>
  <si>
    <t>Sept.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</si>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</sst>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2" fontId="0" fillId="0" borderId="1" xfId="0" applyNumberFormat="1" applyFill="1" applyBorder="1"/>
    <xf numFmtId="2" fontId="0" fillId="0" borderId="0" xfId="0" applyNumberFormat="1"/>
    <xf numFmtId="0" fontId="0" fillId="0" borderId="2" xfId="0" applyBorder="1"/>
    <xf numFmtId="2" fontId="0" fillId="0" borderId="1" xfId="0" applyNumberFormat="1" applyBorder="1"/>
    <xf numFmtId="2" fontId="0" fillId="0" borderId="3" xfId="0" applyNumberFormat="1" applyFill="1" applyBorder="1"/>
    <xf numFmtId="0" fontId="0" fillId="0" borderId="1" xfId="0" applyBorder="1"/>
    <xf numFmtId="2" fontId="0" fillId="0" borderId="3" xfId="0" applyNumberFormat="1" applyBorder="1"/>
    <xf numFmtId="0" fontId="0" fillId="0" borderId="4" xfId="0" applyBorder="1"/>
    <xf numFmtId="2" fontId="0" fillId="0" borderId="5" xfId="0" applyNumberFormat="1" applyBorder="1"/>
    <xf numFmtId="2" fontId="0" fillId="0" borderId="6" xfId="0" applyNumberFormat="1" applyBorder="1"/>
    <xf numFmtId="0" fontId="0" fillId="2" borderId="7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/>
    <xf numFmtId="0" fontId="0" fillId="0" borderId="10" xfId="0" applyBorder="1" applyAlignment="1">
      <alignment horizontal="left"/>
    </xf>
    <xf numFmtId="2" fontId="0" fillId="0" borderId="11" xfId="0" applyNumberFormat="1" applyFill="1" applyBorder="1"/>
    <xf numFmtId="2" fontId="0" fillId="0" borderId="11" xfId="0" applyNumberFormat="1" applyBorder="1"/>
    <xf numFmtId="164" fontId="0" fillId="0" borderId="11" xfId="0" applyNumberFormat="1" applyBorder="1"/>
    <xf numFmtId="0" fontId="1" fillId="0" borderId="4" xfId="0" applyFont="1" applyBorder="1" applyAlignment="1">
      <alignment horizontal="left"/>
    </xf>
    <xf numFmtId="2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/>
    <xf numFmtId="0" fontId="3" fillId="0" borderId="0" xfId="0" applyFont="1"/>
    <xf numFmtId="0" fontId="0" fillId="2" borderId="12" xfId="0" applyFill="1" applyBorder="1" applyAlignment="1">
      <alignment horizontal="center"/>
    </xf>
    <xf numFmtId="2" fontId="0" fillId="0" borderId="13" xfId="0" applyNumberFormat="1" applyBorder="1"/>
    <xf numFmtId="164" fontId="0" fillId="0" borderId="13" xfId="0" applyNumberFormat="1" applyBorder="1"/>
    <xf numFmtId="2" fontId="0" fillId="0" borderId="14" xfId="0" applyNumberFormat="1" applyBorder="1"/>
    <xf numFmtId="2" fontId="1" fillId="0" borderId="16" xfId="0" applyNumberFormat="1" applyFont="1" applyBorder="1"/>
    <xf numFmtId="2" fontId="1" fillId="0" borderId="15" xfId="0" applyNumberFormat="1" applyFont="1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7" sqref="O17"/>
    </sheetView>
  </sheetViews>
  <sheetFormatPr baseColWidth="10" defaultRowHeight="15" x14ac:dyDescent="0.25"/>
  <cols>
    <col min="1" max="1" width="32.85546875" customWidth="1"/>
    <col min="2" max="2" width="12.42578125" customWidth="1"/>
    <col min="3" max="3" width="15.28515625" customWidth="1"/>
    <col min="4" max="4" width="15" customWidth="1"/>
    <col min="5" max="5" width="13.7109375" customWidth="1"/>
    <col min="14" max="14" width="13.140625" customWidth="1"/>
  </cols>
  <sheetData>
    <row r="1" spans="1:16" x14ac:dyDescent="0.25">
      <c r="A1" s="1" t="s">
        <v>23</v>
      </c>
    </row>
    <row r="3" spans="1:16" x14ac:dyDescent="0.25">
      <c r="A3" s="1" t="s">
        <v>20</v>
      </c>
    </row>
    <row r="4" spans="1:16" ht="15.75" thickBot="1" x14ac:dyDescent="0.3">
      <c r="A4" s="2" t="s">
        <v>9</v>
      </c>
    </row>
    <row r="5" spans="1:16" x14ac:dyDescent="0.25">
      <c r="A5" s="13" t="s">
        <v>10</v>
      </c>
      <c r="B5" s="14" t="s">
        <v>17</v>
      </c>
      <c r="C5" s="15" t="s">
        <v>14</v>
      </c>
      <c r="D5" s="15" t="s">
        <v>15</v>
      </c>
      <c r="E5" s="15" t="s">
        <v>16</v>
      </c>
      <c r="F5" s="15" t="s">
        <v>18</v>
      </c>
      <c r="G5" s="15" t="s">
        <v>19</v>
      </c>
      <c r="H5" s="31" t="s">
        <v>25</v>
      </c>
      <c r="I5" s="31" t="s">
        <v>26</v>
      </c>
      <c r="J5" s="31" t="s">
        <v>34</v>
      </c>
      <c r="K5" s="31" t="s">
        <v>27</v>
      </c>
      <c r="L5" s="31" t="s">
        <v>28</v>
      </c>
      <c r="M5" s="31" t="s">
        <v>29</v>
      </c>
      <c r="N5" s="16" t="s">
        <v>33</v>
      </c>
    </row>
    <row r="6" spans="1:16" x14ac:dyDescent="0.25">
      <c r="A6" s="5" t="s">
        <v>0</v>
      </c>
      <c r="B6" s="6">
        <v>17.350000000000012</v>
      </c>
      <c r="C6" s="6">
        <v>18.760000000000002</v>
      </c>
      <c r="D6" s="6">
        <v>14.03</v>
      </c>
      <c r="E6" s="6">
        <v>4.32</v>
      </c>
      <c r="F6" s="6">
        <v>7.46</v>
      </c>
      <c r="G6" s="6">
        <v>7.17</v>
      </c>
      <c r="H6" s="32">
        <v>8.81</v>
      </c>
      <c r="I6" s="32">
        <v>9.6300000000000008</v>
      </c>
      <c r="J6" s="32">
        <v>11.83</v>
      </c>
      <c r="K6" s="32">
        <v>14.03</v>
      </c>
      <c r="L6" s="32">
        <v>15.99</v>
      </c>
      <c r="M6" s="32">
        <v>15.99</v>
      </c>
      <c r="N6" s="7">
        <v>17.350000000000001</v>
      </c>
    </row>
    <row r="7" spans="1:16" x14ac:dyDescent="0.25">
      <c r="A7" s="5" t="s">
        <v>1</v>
      </c>
      <c r="B7" s="6">
        <v>10.75</v>
      </c>
      <c r="C7" s="8">
        <f>14.46-10.75</f>
        <v>3.7100000000000009</v>
      </c>
      <c r="D7" s="6">
        <f>17.43-C7-B7</f>
        <v>2.9699999999999989</v>
      </c>
      <c r="E7" s="6">
        <f>21.36-D7-C7-B7</f>
        <v>3.9299999999999997</v>
      </c>
      <c r="F7" s="6">
        <f>23.77-E7-D7-C7-B7</f>
        <v>2.41</v>
      </c>
      <c r="G7" s="6">
        <f>28.28-F7-E7-D7-C7-B7</f>
        <v>4.5100000000000016</v>
      </c>
      <c r="H7" s="32">
        <f>32.83-G7-F7-E7-D7-C7-B7</f>
        <v>4.5499999999999972</v>
      </c>
      <c r="I7" s="32">
        <f>40.08-SUM(B7:H7)</f>
        <v>7.25</v>
      </c>
      <c r="J7" s="32">
        <f>47.49-SUM(B7:I7)</f>
        <v>7.4100000000000037</v>
      </c>
      <c r="K7" s="32">
        <f>55.24-SUM(B7:J7)</f>
        <v>7.75</v>
      </c>
      <c r="L7" s="32">
        <f>55.24-SUM(B7:K7)</f>
        <v>0</v>
      </c>
      <c r="M7" s="32">
        <f>81.36-SUM(B7:L7)</f>
        <v>26.119999999999997</v>
      </c>
      <c r="N7" s="9">
        <f>SUM(B7:M7)</f>
        <v>81.36</v>
      </c>
    </row>
    <row r="8" spans="1:16" x14ac:dyDescent="0.25">
      <c r="A8" s="5" t="s">
        <v>2</v>
      </c>
      <c r="B8" s="6">
        <v>8.74</v>
      </c>
      <c r="C8" s="6">
        <f>15.45-B8</f>
        <v>6.7099999999999991</v>
      </c>
      <c r="D8" s="6">
        <f>27.89-C8-B8</f>
        <v>12.44</v>
      </c>
      <c r="E8" s="6">
        <f>28.63-D8-C8-B8</f>
        <v>0.73999999999999844</v>
      </c>
      <c r="F8" s="6">
        <f>31.28-E8-D8-C8-B8</f>
        <v>2.6500000000000021</v>
      </c>
      <c r="G8" s="6">
        <f>34.14-F8-E8-D8-C8-B8</f>
        <v>2.860000000000003</v>
      </c>
      <c r="H8" s="32">
        <f>37.83-G8-F8-E8-D8-C8-B8</f>
        <v>3.6899999999999942</v>
      </c>
      <c r="I8" s="32">
        <f>42.71-SUM(B8:H8)</f>
        <v>4.8800000000000026</v>
      </c>
      <c r="J8" s="32">
        <f>47.88-SUM(B8:I8)</f>
        <v>5.1700000000000017</v>
      </c>
      <c r="K8" s="32">
        <f>53.67-SUM(B8:J8)</f>
        <v>5.7899999999999991</v>
      </c>
      <c r="L8" s="32">
        <f>53.67-SUM(B8:K8)</f>
        <v>0</v>
      </c>
      <c r="M8" s="32">
        <f>75.48-SUM(B8:L8)</f>
        <v>21.810000000000002</v>
      </c>
      <c r="N8" s="9">
        <f t="shared" ref="N8:N9" si="0">SUM(B8:M8)</f>
        <v>75.48</v>
      </c>
    </row>
    <row r="9" spans="1:16" x14ac:dyDescent="0.25">
      <c r="A9" s="5" t="s">
        <v>3</v>
      </c>
      <c r="B9" s="6">
        <v>0.6</v>
      </c>
      <c r="C9" s="6">
        <f>2.33-B9</f>
        <v>1.73</v>
      </c>
      <c r="D9" s="6">
        <f>2.57-B9-C9</f>
        <v>0.23999999999999977</v>
      </c>
      <c r="E9" s="6">
        <f>2.62-D9-C9-B9</f>
        <v>5.0000000000000377E-2</v>
      </c>
      <c r="F9" s="6">
        <f>2.67-E9-D9-C9-B9</f>
        <v>4.9999999999999933E-2</v>
      </c>
      <c r="G9" s="6">
        <f>2.68-F9-E9-D9-C9-B9</f>
        <v>1.0000000000000342E-2</v>
      </c>
      <c r="H9" s="32">
        <f>2.72-G9-F9-E9-D9-C9-B9</f>
        <v>4.0000000000000147E-2</v>
      </c>
      <c r="I9" s="32">
        <f>2.89-SUM(B9:H9)</f>
        <v>0.16999999999999993</v>
      </c>
      <c r="J9" s="32">
        <f>2.93-SUM(B9:I9)</f>
        <v>4.0000000000000036E-2</v>
      </c>
      <c r="K9" s="32">
        <f>2.93-SUM(B9:J9)</f>
        <v>0</v>
      </c>
      <c r="L9" s="32">
        <f>2.93-SUM(B9:K9)</f>
        <v>0</v>
      </c>
      <c r="M9" s="32">
        <f>3.03-SUM(B9:L9)</f>
        <v>9.9999999999999645E-2</v>
      </c>
      <c r="N9" s="9">
        <f t="shared" si="0"/>
        <v>3.03</v>
      </c>
      <c r="P9" s="4"/>
    </row>
    <row r="10" spans="1:16" ht="15.75" thickBot="1" x14ac:dyDescent="0.3">
      <c r="A10" s="10" t="s">
        <v>4</v>
      </c>
      <c r="B10" s="11">
        <f t="shared" ref="B10:F10" si="1">B6+B7-B8-B9</f>
        <v>18.760000000000012</v>
      </c>
      <c r="C10" s="11">
        <f t="shared" si="1"/>
        <v>14.030000000000003</v>
      </c>
      <c r="D10" s="11">
        <f t="shared" si="1"/>
        <v>4.32</v>
      </c>
      <c r="E10" s="11">
        <f t="shared" si="1"/>
        <v>7.4600000000000009</v>
      </c>
      <c r="F10" s="11">
        <f t="shared" si="1"/>
        <v>7.169999999999999</v>
      </c>
      <c r="G10" s="11">
        <f t="shared" ref="G10:N10" si="2">G6+G7-G8-G9</f>
        <v>8.8099999999999987</v>
      </c>
      <c r="H10" s="11">
        <f t="shared" si="2"/>
        <v>9.6300000000000026</v>
      </c>
      <c r="I10" s="11">
        <f t="shared" si="2"/>
        <v>11.83</v>
      </c>
      <c r="J10" s="11">
        <f t="shared" si="2"/>
        <v>14.030000000000001</v>
      </c>
      <c r="K10" s="11">
        <f t="shared" si="2"/>
        <v>15.990000000000002</v>
      </c>
      <c r="L10" s="11">
        <f t="shared" si="2"/>
        <v>15.99</v>
      </c>
      <c r="M10" s="11">
        <f t="shared" si="2"/>
        <v>20.199999999999996</v>
      </c>
      <c r="N10" s="12">
        <f t="shared" si="2"/>
        <v>20.200000000000003</v>
      </c>
    </row>
    <row r="12" spans="1:16" ht="15.75" thickBot="1" x14ac:dyDescent="0.3">
      <c r="A12" s="2" t="s">
        <v>21</v>
      </c>
    </row>
    <row r="13" spans="1:16" x14ac:dyDescent="0.25">
      <c r="A13" s="13" t="s">
        <v>10</v>
      </c>
      <c r="B13" s="14" t="s">
        <v>17</v>
      </c>
      <c r="C13" s="15" t="s">
        <v>14</v>
      </c>
      <c r="D13" s="15" t="s">
        <v>15</v>
      </c>
      <c r="E13" s="15" t="s">
        <v>16</v>
      </c>
      <c r="F13" s="15" t="s">
        <v>18</v>
      </c>
      <c r="G13" s="15" t="s">
        <v>19</v>
      </c>
      <c r="H13" s="31" t="s">
        <v>25</v>
      </c>
      <c r="I13" s="31" t="s">
        <v>26</v>
      </c>
      <c r="J13" s="31" t="s">
        <v>30</v>
      </c>
      <c r="K13" s="31" t="s">
        <v>27</v>
      </c>
      <c r="L13" s="31" t="s">
        <v>35</v>
      </c>
      <c r="M13" s="31" t="s">
        <v>29</v>
      </c>
      <c r="N13" s="16" t="s">
        <v>33</v>
      </c>
    </row>
    <row r="14" spans="1:16" x14ac:dyDescent="0.25">
      <c r="A14" s="17" t="s">
        <v>5</v>
      </c>
      <c r="B14" s="6">
        <v>10.74</v>
      </c>
      <c r="C14" s="6">
        <f>14.45-B14</f>
        <v>3.7099999999999991</v>
      </c>
      <c r="D14" s="6">
        <f>17.4-C14-B14</f>
        <v>2.9499999999999993</v>
      </c>
      <c r="E14" s="6">
        <f>21.2-D14-C14-B14</f>
        <v>3.8000000000000007</v>
      </c>
      <c r="F14" s="6">
        <f>23.59-E14-D14-C14-B14</f>
        <v>2.3900000000000006</v>
      </c>
      <c r="G14" s="6">
        <f>27.74-F14-E14-D14-C14-B14</f>
        <v>4.1499999999999986</v>
      </c>
      <c r="H14" s="32">
        <f>32.27-SUM(B14:G14)</f>
        <v>4.5300000000000047</v>
      </c>
      <c r="I14" s="32">
        <f>39.38-SUM(B14:H14)</f>
        <v>7.1099999999999994</v>
      </c>
      <c r="J14" s="32">
        <f>46.71-SUM(B14:I14)</f>
        <v>7.3299999999999983</v>
      </c>
      <c r="K14" s="32">
        <f>53.16-SUM(B14:J14)</f>
        <v>6.4499999999999957</v>
      </c>
      <c r="L14" s="32">
        <f>53.16-SUM(B14:K14)</f>
        <v>0</v>
      </c>
      <c r="M14" s="32">
        <f>65.12-SUM(B14:L14)</f>
        <v>11.960000000000008</v>
      </c>
      <c r="N14" s="9">
        <f t="shared" ref="N14:N20" si="3">SUM(B14:M14)</f>
        <v>65.12</v>
      </c>
    </row>
    <row r="15" spans="1:16" x14ac:dyDescent="0.25">
      <c r="A15" s="17" t="s">
        <v>6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9">
        <f t="shared" si="3"/>
        <v>0</v>
      </c>
    </row>
    <row r="16" spans="1:16" ht="30" x14ac:dyDescent="0.25">
      <c r="A16" s="19" t="s">
        <v>11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9">
        <f t="shared" si="3"/>
        <v>0</v>
      </c>
    </row>
    <row r="17" spans="1:14" ht="30" x14ac:dyDescent="0.25">
      <c r="A17" s="20" t="s">
        <v>12</v>
      </c>
      <c r="B17" s="21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9">
        <f t="shared" si="3"/>
        <v>0</v>
      </c>
    </row>
    <row r="18" spans="1:14" x14ac:dyDescent="0.25">
      <c r="A18" s="20" t="s">
        <v>13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9">
        <f t="shared" si="3"/>
        <v>0</v>
      </c>
    </row>
    <row r="19" spans="1:14" x14ac:dyDescent="0.25">
      <c r="A19" s="23" t="s">
        <v>7</v>
      </c>
      <c r="B19" s="25">
        <v>0.01</v>
      </c>
      <c r="C19" s="26">
        <f>0.01-B19</f>
        <v>0</v>
      </c>
      <c r="D19" s="25">
        <f>0.03-B19-C19</f>
        <v>1.9999999999999997E-2</v>
      </c>
      <c r="E19" s="25">
        <f>0.16-D19-C19-B19</f>
        <v>0.13</v>
      </c>
      <c r="F19" s="25">
        <f>0.18-E19-D19-C19-B19</f>
        <v>1.999999999999999E-2</v>
      </c>
      <c r="G19" s="25">
        <f>0.54-F19-E19-D19-C19-B19</f>
        <v>0.36</v>
      </c>
      <c r="H19" s="34">
        <f>0.56-SUM(B19:G19)</f>
        <v>2.0000000000000018E-2</v>
      </c>
      <c r="I19" s="32">
        <f>0.7-SUM(B19:H19)</f>
        <v>0.1399999999999999</v>
      </c>
      <c r="J19" s="32">
        <f>0.78-SUM(B19:I19)</f>
        <v>8.0000000000000071E-2</v>
      </c>
      <c r="K19" s="32">
        <f>2.08-SUM(B19:J19)</f>
        <v>1.3</v>
      </c>
      <c r="L19" s="32">
        <v>0</v>
      </c>
      <c r="M19" s="32">
        <f>16.24-SUM(B19:L19)</f>
        <v>14.159999999999998</v>
      </c>
      <c r="N19" s="9">
        <f t="shared" si="3"/>
        <v>16.239999999999998</v>
      </c>
    </row>
    <row r="20" spans="1:14" ht="15.75" thickBot="1" x14ac:dyDescent="0.3">
      <c r="A20" s="27" t="s">
        <v>8</v>
      </c>
      <c r="B20" s="28">
        <f t="shared" ref="B20:M20" si="4">SUM(B14:B19)</f>
        <v>10.75</v>
      </c>
      <c r="C20" s="29">
        <f t="shared" si="4"/>
        <v>3.7099999999999991</v>
      </c>
      <c r="D20" s="29">
        <f t="shared" si="4"/>
        <v>2.9699999999999993</v>
      </c>
      <c r="E20" s="29">
        <f t="shared" si="4"/>
        <v>3.9300000000000006</v>
      </c>
      <c r="F20" s="29">
        <f t="shared" si="4"/>
        <v>2.4100000000000006</v>
      </c>
      <c r="G20" s="29">
        <f t="shared" si="4"/>
        <v>4.5099999999999989</v>
      </c>
      <c r="H20" s="29">
        <f t="shared" si="4"/>
        <v>4.5500000000000043</v>
      </c>
      <c r="I20" s="35">
        <f t="shared" si="4"/>
        <v>7.2499999999999991</v>
      </c>
      <c r="J20" s="35">
        <f t="shared" si="4"/>
        <v>7.4099999999999984</v>
      </c>
      <c r="K20" s="35">
        <f>SUM(K14:K19)</f>
        <v>7.7499999999999956</v>
      </c>
      <c r="L20" s="35">
        <f>SUM(L14:L19)</f>
        <v>0</v>
      </c>
      <c r="M20" s="35">
        <f t="shared" si="4"/>
        <v>26.120000000000005</v>
      </c>
      <c r="N20" s="36">
        <f t="shared" si="3"/>
        <v>81.359999999999985</v>
      </c>
    </row>
    <row r="22" spans="1:14" ht="15.75" thickBot="1" x14ac:dyDescent="0.3">
      <c r="A22" s="2" t="s">
        <v>22</v>
      </c>
    </row>
    <row r="23" spans="1:14" x14ac:dyDescent="0.25">
      <c r="A23" s="13" t="s">
        <v>10</v>
      </c>
      <c r="B23" s="14" t="s">
        <v>17</v>
      </c>
      <c r="C23" s="15" t="s">
        <v>14</v>
      </c>
      <c r="D23" s="15" t="s">
        <v>15</v>
      </c>
      <c r="E23" s="15" t="s">
        <v>16</v>
      </c>
      <c r="F23" s="15" t="s">
        <v>18</v>
      </c>
      <c r="G23" s="15" t="s">
        <v>19</v>
      </c>
      <c r="H23" s="31" t="s">
        <v>25</v>
      </c>
      <c r="I23" s="31" t="s">
        <v>26</v>
      </c>
      <c r="J23" s="31" t="s">
        <v>31</v>
      </c>
      <c r="K23" s="31" t="s">
        <v>32</v>
      </c>
      <c r="L23" s="31" t="s">
        <v>28</v>
      </c>
      <c r="M23" s="31" t="s">
        <v>29</v>
      </c>
      <c r="N23" s="16" t="s">
        <v>33</v>
      </c>
    </row>
    <row r="24" spans="1:14" x14ac:dyDescent="0.25">
      <c r="A24" s="17" t="s">
        <v>5</v>
      </c>
      <c r="B24" s="3">
        <v>8.73</v>
      </c>
      <c r="C24" s="6">
        <f>15.28-B24</f>
        <v>6.5499999999999989</v>
      </c>
      <c r="D24" s="6">
        <f>27.71-C24-B24</f>
        <v>12.430000000000003</v>
      </c>
      <c r="E24" s="6">
        <f>28.32-D24-C24-B24</f>
        <v>0.60999999999999766</v>
      </c>
      <c r="F24" s="6">
        <f>30.96-E24-D24-C24-B24</f>
        <v>2.6399999999999988</v>
      </c>
      <c r="G24" s="6">
        <f>33.81-F24-E24-D24-C24-B24</f>
        <v>2.8499999999999996</v>
      </c>
      <c r="H24" s="32">
        <f>37.39-SUM(B24:G24)</f>
        <v>3.5799999999999983</v>
      </c>
      <c r="I24" s="32">
        <f>42.19-SUM(B24:H24)</f>
        <v>4.7999999999999972</v>
      </c>
      <c r="J24" s="32">
        <f>47.33-SUM(B24:I24)</f>
        <v>5.1400000000000006</v>
      </c>
      <c r="K24" s="32">
        <f>52.9-SUM(B24:J24)</f>
        <v>5.57</v>
      </c>
      <c r="L24" s="32">
        <f>52.9-SUM(B24:K24)</f>
        <v>0</v>
      </c>
      <c r="M24" s="32">
        <f>67.09-SUM(B24:L24)</f>
        <v>14.190000000000005</v>
      </c>
      <c r="N24" s="9">
        <f>B24+C24+D24+E24+F24+G24+H24+I24+J24+K24+L24+M24</f>
        <v>67.09</v>
      </c>
    </row>
    <row r="25" spans="1:14" x14ac:dyDescent="0.25">
      <c r="A25" s="17" t="s">
        <v>6</v>
      </c>
      <c r="B25" s="22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9">
        <f t="shared" ref="N25:N28" si="5">B25+C25+D25+E25+F25+G25+H25+I25</f>
        <v>0</v>
      </c>
    </row>
    <row r="26" spans="1:14" ht="30" x14ac:dyDescent="0.25">
      <c r="A26" s="19" t="s">
        <v>11</v>
      </c>
      <c r="B26" s="22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9">
        <f t="shared" si="5"/>
        <v>0</v>
      </c>
    </row>
    <row r="27" spans="1:14" ht="30" x14ac:dyDescent="0.25">
      <c r="A27" s="20" t="s">
        <v>12</v>
      </c>
      <c r="B27" s="22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9">
        <f t="shared" si="5"/>
        <v>0</v>
      </c>
    </row>
    <row r="28" spans="1:14" x14ac:dyDescent="0.25">
      <c r="A28" s="20" t="s">
        <v>13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9">
        <f t="shared" si="5"/>
        <v>0</v>
      </c>
    </row>
    <row r="29" spans="1:14" x14ac:dyDescent="0.25">
      <c r="A29" s="23" t="s">
        <v>7</v>
      </c>
      <c r="B29" s="24">
        <v>0.01</v>
      </c>
      <c r="C29" s="25">
        <f>0.17-B29</f>
        <v>0.16</v>
      </c>
      <c r="D29" s="25">
        <f>0.18-C29-B29</f>
        <v>9.9999999999999898E-3</v>
      </c>
      <c r="E29" s="25">
        <f>0.31-D29-C29-B29</f>
        <v>0.12999999999999998</v>
      </c>
      <c r="F29" s="25">
        <f>0.32-E29-D29-C29-B29</f>
        <v>1.0000000000000045E-2</v>
      </c>
      <c r="G29" s="25">
        <f>0.33-F29-E29-D29-C29-B29</f>
        <v>9.9999999999999898E-3</v>
      </c>
      <c r="H29" s="34">
        <f>0.44-SUM(B29:G29)</f>
        <v>0.10999999999999999</v>
      </c>
      <c r="I29" s="32">
        <f>0.52-SUM(B29:H29)</f>
        <v>8.0000000000000016E-2</v>
      </c>
      <c r="J29" s="32">
        <f>0.55-SUM(B29:I29)</f>
        <v>3.0000000000000027E-2</v>
      </c>
      <c r="K29" s="32">
        <f>0.77-SUM(B29:J29)</f>
        <v>0.21999999999999997</v>
      </c>
      <c r="L29" s="32">
        <f>0.77-SUM(B29:K29)</f>
        <v>0</v>
      </c>
      <c r="M29" s="32">
        <f>8.39-SUM(B29:L29)</f>
        <v>7.620000000000001</v>
      </c>
      <c r="N29" s="9">
        <f>B29+C29+D29+E29+F29+G29+H29+I29+J29+K29+L29+M29</f>
        <v>8.39</v>
      </c>
    </row>
    <row r="30" spans="1:14" ht="15.75" thickBot="1" x14ac:dyDescent="0.3">
      <c r="A30" s="27" t="s">
        <v>8</v>
      </c>
      <c r="B30" s="29">
        <f t="shared" ref="B30" si="6">SUM(B24:B29)</f>
        <v>8.74</v>
      </c>
      <c r="C30" s="29">
        <f t="shared" ref="C30:I30" si="7">SUM(C24:C29)</f>
        <v>6.7099999999999991</v>
      </c>
      <c r="D30" s="29">
        <f t="shared" si="7"/>
        <v>12.440000000000003</v>
      </c>
      <c r="E30" s="29">
        <f t="shared" si="7"/>
        <v>0.73999999999999766</v>
      </c>
      <c r="F30" s="29">
        <f t="shared" si="7"/>
        <v>2.649999999999999</v>
      </c>
      <c r="G30" s="29">
        <f t="shared" si="7"/>
        <v>2.8599999999999994</v>
      </c>
      <c r="H30" s="29">
        <f t="shared" si="7"/>
        <v>3.6899999999999982</v>
      </c>
      <c r="I30" s="35">
        <f t="shared" si="7"/>
        <v>4.8799999999999972</v>
      </c>
      <c r="J30" s="35">
        <f t="shared" ref="J30" si="8">SUM(J24:J29)</f>
        <v>5.1700000000000008</v>
      </c>
      <c r="K30" s="35">
        <f t="shared" ref="K30:M30" si="9">SUM(K24:K29)</f>
        <v>5.79</v>
      </c>
      <c r="L30" s="35">
        <f t="shared" si="9"/>
        <v>0</v>
      </c>
      <c r="M30" s="35">
        <f t="shared" si="9"/>
        <v>21.810000000000006</v>
      </c>
      <c r="N30" s="36">
        <f>B30+C30+D30+E30+F30+G30+H30+I30+J30+K30+L30+M30</f>
        <v>75.48</v>
      </c>
    </row>
    <row r="32" spans="1:14" x14ac:dyDescent="0.25">
      <c r="A32" s="30" t="s">
        <v>24</v>
      </c>
    </row>
  </sheetData>
  <printOptions horizontalCentered="1" verticalCentered="1"/>
  <pageMargins left="0.39370078740157483" right="0.39370078740157483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Fermin Garcia</cp:lastModifiedBy>
  <cp:lastPrinted>2019-01-04T15:24:41Z</cp:lastPrinted>
  <dcterms:created xsi:type="dcterms:W3CDTF">2011-09-20T18:41:27Z</dcterms:created>
  <dcterms:modified xsi:type="dcterms:W3CDTF">2019-01-04T15:36:46Z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</Properties>
</file>