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COMP PP EFE AL DIA 2019" sheetId="1" r:id="rId1"/>
  </sheets>
  <definedNames>
    <definedName name="_xlnm.Print_Area" localSheetId="0">'COMP PP EFE AL DIA 2019'!$A$1:$F$155</definedName>
    <definedName name="_xlnm.Print_Titles" localSheetId="0">'COMP PP EFE AL DIA 2019'!$1:$15</definedName>
  </definedNames>
  <calcPr fullCalcOnLoad="1"/>
</workbook>
</file>

<file path=xl/sharedStrings.xml><?xml version="1.0" encoding="utf-8"?>
<sst xmlns="http://schemas.openxmlformats.org/spreadsheetml/2006/main" count="142" uniqueCount="28">
  <si>
    <t>PERIODO</t>
  </si>
  <si>
    <t>MONTO</t>
  </si>
  <si>
    <t>SALDO AL 31 DE 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</si>
  <si>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</si>
  <si>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</si>
  <si>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</si>
  <si>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</si>
  <si>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</si>
  <si>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</si>
  <si>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</si>
  <si>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</si>
  <si>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</si>
  <si>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</si>
  <si>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</si>
  <si>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</si>
  <si>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(1)</t>
  </si>
  <si>
    <t>(2)</t>
  </si>
  <si>
    <t>(3)</t>
  </si>
  <si>
    <t>(1+2-3)</t>
  </si>
  <si>
    <t xml:space="preserve">SALDO </t>
  </si>
  <si>
    <t>PAGADO</t>
  </si>
  <si>
    <t xml:space="preserve">COLOCADO </t>
  </si>
  <si>
    <t xml:space="preserve">SALDO ANTERIOR </t>
  </si>
  <si>
    <t>INFORME DE COLOCACIÓN, PAGOS Y SALDOS DE LETRAS DEL TESORO (LETES)</t>
  </si>
  <si>
    <t>(EN MILES DE DOLARES DE LOS ESTADOS UNIDOS DE AMERICA)</t>
  </si>
  <si>
    <t>MARZO */</t>
  </si>
  <si>
    <t>*/  Las LETES de marzo 2018 fueron adjudicadas el 27 de febrero y liquidadas el 01 de marzo de 2018.</t>
  </si>
  <si>
    <t>PERIODO 2016 - 2019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</si>
</sst>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.0_);_(* \(#,##0.0\);_(* &quot;-&quot;?_);_(@_)"/>
    <numFmt numFmtId="174" formatCode="General_)"/>
    <numFmt numFmtId="175" formatCode="dd/mm/yyyy\ hh:mm\ AM/PM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#,##0.00000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12"/>
      <color indexed="8"/>
      <name val="Calibri"/>
      <family val="2"/>
    </font>
    <font>
      <b/>
      <i/>
      <sz val="10"/>
      <name val="Calibri"/>
      <family val="2"/>
    </font>
    <font>
      <b/>
      <i/>
      <sz val="26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/>
      <top/>
      <bottom/>
    </border>
    <border>
      <left/>
      <right style="medium"/>
      <top style="double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double"/>
    </border>
    <border>
      <left style="medium"/>
      <right style="medium"/>
      <top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double"/>
      <bottom/>
    </border>
    <border>
      <left>
        <color indexed="63"/>
      </left>
      <right>
        <color indexed="63"/>
      </right>
      <top style="double"/>
      <bottom/>
    </border>
    <border>
      <left style="double"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/>
      <bottom style="medium"/>
    </border>
    <border>
      <left>
        <color indexed="63"/>
      </left>
      <right style="medium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" fontId="19" fillId="0" borderId="0" xfId="0" applyNumberFormat="1" applyFont="1" applyAlignment="1">
      <alignment vertical="center"/>
    </xf>
    <xf numFmtId="4" fontId="21" fillId="32" borderId="13" xfId="0" applyNumberFormat="1" applyFont="1" applyFill="1" applyBorder="1" applyAlignment="1">
      <alignment vertical="center"/>
    </xf>
    <xf numFmtId="4" fontId="21" fillId="32" borderId="14" xfId="0" applyNumberFormat="1" applyFont="1" applyFill="1" applyBorder="1" applyAlignment="1">
      <alignment vertical="center"/>
    </xf>
    <xf numFmtId="4" fontId="21" fillId="32" borderId="15" xfId="0" applyNumberFormat="1" applyFont="1" applyFill="1" applyBorder="1" applyAlignment="1">
      <alignment vertical="center"/>
    </xf>
    <xf numFmtId="0" fontId="22" fillId="33" borderId="16" xfId="0" applyFont="1" applyFill="1" applyBorder="1" applyAlignment="1">
      <alignment horizontal="center" vertical="center"/>
    </xf>
    <xf numFmtId="174" fontId="23" fillId="33" borderId="17" xfId="0" applyNumberFormat="1" applyFont="1" applyFill="1" applyBorder="1" applyAlignment="1" applyProtection="1">
      <alignment vertical="center"/>
      <protection/>
    </xf>
    <xf numFmtId="173" fontId="24" fillId="0" borderId="18" xfId="0" applyNumberFormat="1" applyFont="1" applyBorder="1" applyAlignment="1">
      <alignment horizontal="center" vertical="center"/>
    </xf>
    <xf numFmtId="173" fontId="23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74" fontId="23" fillId="33" borderId="18" xfId="0" applyNumberFormat="1" applyFont="1" applyFill="1" applyBorder="1" applyAlignment="1" applyProtection="1">
      <alignment vertical="center"/>
      <protection/>
    </xf>
    <xf numFmtId="4" fontId="23" fillId="0" borderId="19" xfId="0" applyNumberFormat="1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vertical="center"/>
    </xf>
    <xf numFmtId="174" fontId="23" fillId="33" borderId="20" xfId="0" applyNumberFormat="1" applyFont="1" applyFill="1" applyBorder="1" applyAlignment="1" applyProtection="1">
      <alignment vertical="center"/>
      <protection/>
    </xf>
    <xf numFmtId="4" fontId="23" fillId="0" borderId="21" xfId="0" applyNumberFormat="1" applyFont="1" applyFill="1" applyBorder="1" applyAlignment="1">
      <alignment vertical="center"/>
    </xf>
    <xf numFmtId="4" fontId="21" fillId="32" borderId="22" xfId="0" applyNumberFormat="1" applyFont="1" applyFill="1" applyBorder="1" applyAlignment="1">
      <alignment vertical="center"/>
    </xf>
    <xf numFmtId="4" fontId="21" fillId="32" borderId="23" xfId="0" applyNumberFormat="1" applyFont="1" applyFill="1" applyBorder="1" applyAlignment="1">
      <alignment vertical="center"/>
    </xf>
    <xf numFmtId="4" fontId="21" fillId="32" borderId="24" xfId="0" applyNumberFormat="1" applyFont="1" applyFill="1" applyBorder="1" applyAlignment="1">
      <alignment vertical="center"/>
    </xf>
    <xf numFmtId="174" fontId="23" fillId="33" borderId="0" xfId="0" applyNumberFormat="1" applyFont="1" applyFill="1" applyBorder="1" applyAlignment="1" applyProtection="1">
      <alignment vertical="center"/>
      <protection/>
    </xf>
    <xf numFmtId="4" fontId="23" fillId="0" borderId="25" xfId="0" applyNumberFormat="1" applyFont="1" applyFill="1" applyBorder="1" applyAlignment="1">
      <alignment vertical="center"/>
    </xf>
    <xf numFmtId="0" fontId="26" fillId="33" borderId="16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33" borderId="26" xfId="0" applyFont="1" applyFill="1" applyBorder="1" applyAlignment="1">
      <alignment horizontal="center" vertical="center"/>
    </xf>
    <xf numFmtId="174" fontId="23" fillId="33" borderId="27" xfId="0" applyNumberFormat="1" applyFont="1" applyFill="1" applyBorder="1" applyAlignment="1" applyProtection="1">
      <alignment vertical="center"/>
      <protection/>
    </xf>
    <xf numFmtId="4" fontId="23" fillId="0" borderId="28" xfId="0" applyNumberFormat="1" applyFont="1" applyFill="1" applyBorder="1" applyAlignment="1">
      <alignment vertical="center"/>
    </xf>
    <xf numFmtId="4" fontId="23" fillId="0" borderId="27" xfId="0" applyNumberFormat="1" applyFont="1" applyFill="1" applyBorder="1" applyAlignment="1">
      <alignment vertical="center"/>
    </xf>
    <xf numFmtId="0" fontId="22" fillId="33" borderId="29" xfId="0" applyFont="1" applyFill="1" applyBorder="1" applyAlignment="1">
      <alignment horizontal="center" vertical="center"/>
    </xf>
    <xf numFmtId="174" fontId="23" fillId="33" borderId="30" xfId="0" applyNumberFormat="1" applyFont="1" applyFill="1" applyBorder="1" applyAlignment="1" applyProtection="1">
      <alignment vertical="center"/>
      <protection/>
    </xf>
    <xf numFmtId="0" fontId="22" fillId="33" borderId="27" xfId="0" applyFont="1" applyFill="1" applyBorder="1" applyAlignment="1">
      <alignment horizontal="left" vertical="center"/>
    </xf>
    <xf numFmtId="173" fontId="24" fillId="0" borderId="28" xfId="0" applyNumberFormat="1" applyFont="1" applyBorder="1" applyAlignment="1">
      <alignment horizontal="center" vertical="center"/>
    </xf>
    <xf numFmtId="173" fontId="28" fillId="0" borderId="28" xfId="0" applyNumberFormat="1" applyFont="1" applyFill="1" applyBorder="1" applyAlignment="1" applyProtection="1">
      <alignment vertical="center"/>
      <protection hidden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19" fontId="25" fillId="0" borderId="0" xfId="0" applyNumberFormat="1" applyFont="1" applyAlignment="1">
      <alignment vertical="center" wrapText="1"/>
    </xf>
    <xf numFmtId="175" fontId="20" fillId="0" borderId="0" xfId="0" applyNumberFormat="1" applyFont="1" applyAlignment="1">
      <alignment vertical="center"/>
    </xf>
    <xf numFmtId="175" fontId="20" fillId="0" borderId="0" xfId="0" applyNumberFormat="1" applyFont="1" applyAlignment="1">
      <alignment horizontal="right" vertical="center"/>
    </xf>
    <xf numFmtId="175" fontId="20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173" fontId="21" fillId="0" borderId="10" xfId="0" applyNumberFormat="1" applyFont="1" applyBorder="1" applyAlignment="1" quotePrefix="1">
      <alignment horizontal="center" vertical="center"/>
    </xf>
    <xf numFmtId="173" fontId="21" fillId="0" borderId="11" xfId="0" applyNumberFormat="1" applyFont="1" applyBorder="1" applyAlignment="1" quotePrefix="1">
      <alignment horizontal="center" vertical="center"/>
    </xf>
    <xf numFmtId="173" fontId="21" fillId="0" borderId="31" xfId="0" applyNumberFormat="1" applyFont="1" applyBorder="1" applyAlignment="1" quotePrefix="1">
      <alignment horizontal="center" vertical="center"/>
    </xf>
    <xf numFmtId="0" fontId="31" fillId="33" borderId="32" xfId="0" applyFont="1" applyFill="1" applyBorder="1" applyAlignment="1">
      <alignment vertical="center" wrapText="1"/>
    </xf>
    <xf numFmtId="0" fontId="31" fillId="33" borderId="3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9" fontId="25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33" borderId="32" xfId="0" applyFont="1" applyFill="1" applyBorder="1" applyAlignment="1">
      <alignment horizontal="center" vertical="center" wrapText="1"/>
    </xf>
    <xf numFmtId="0" fontId="31" fillId="33" borderId="33" xfId="0" applyFont="1" applyFill="1" applyBorder="1" applyAlignment="1">
      <alignment horizontal="center" vertical="center" wrapText="1"/>
    </xf>
    <xf numFmtId="0" fontId="31" fillId="33" borderId="35" xfId="0" applyFont="1" applyFill="1" applyBorder="1" applyAlignment="1">
      <alignment horizontal="center" vertical="center" wrapText="1"/>
    </xf>
    <xf numFmtId="0" fontId="31" fillId="33" borderId="36" xfId="35" applyFont="1" applyFill="1" applyBorder="1" applyAlignment="1">
      <alignment horizontal="center" vertical="center" wrapText="1"/>
    </xf>
    <xf numFmtId="0" fontId="31" fillId="33" borderId="37" xfId="35" applyFont="1" applyFill="1" applyBorder="1" applyAlignment="1">
      <alignment horizontal="center" vertical="center" wrapText="1"/>
    </xf>
    <xf numFmtId="0" fontId="31" fillId="33" borderId="38" xfId="35" applyFont="1" applyFill="1" applyBorder="1" applyAlignment="1">
      <alignment horizontal="center" vertical="center" wrapText="1"/>
    </xf>
    <xf numFmtId="0" fontId="31" fillId="33" borderId="26" xfId="35" applyFont="1" applyFill="1" applyBorder="1" applyAlignment="1">
      <alignment horizontal="center" vertical="center" wrapText="1"/>
    </xf>
    <xf numFmtId="0" fontId="31" fillId="33" borderId="34" xfId="35" applyFont="1" applyFill="1" applyBorder="1" applyAlignment="1">
      <alignment horizontal="center" vertical="center" wrapText="1"/>
    </xf>
    <xf numFmtId="0" fontId="31" fillId="33" borderId="27" xfId="35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19" fontId="25" fillId="0" borderId="0" xfId="0" applyNumberFormat="1" applyFont="1" applyAlignment="1">
      <alignment horizontal="center" vertical="center" wrapText="1"/>
    </xf>
    <xf numFmtId="15" fontId="32" fillId="0" borderId="37" xfId="0" applyNumberFormat="1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76200</xdr:rowOff>
    </xdr:from>
    <xdr:to>
      <xdr:col>3</xdr:col>
      <xdr:colOff>1590675</xdr:colOff>
      <xdr:row>6</xdr:row>
      <xdr:rowOff>38100</xdr:rowOff>
    </xdr:to>
    <xdr:pic>
      <xdr:nvPicPr>
        <xdr:cNvPr id="1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76200"/>
          <a:ext cx="2562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showGridLines="0" tabSelected="1" zoomScale="70" zoomScaleNormal="70" zoomScalePageLayoutView="0" workbookViewId="0" topLeftCell="A133">
      <selection activeCell="F153" sqref="F153"/>
    </sheetView>
  </sheetViews>
  <sheetFormatPr defaultColWidth="11.421875" defaultRowHeight="12.75"/>
  <cols>
    <col min="1" max="1" width="2.00390625" style="44" customWidth="1"/>
    <col min="2" max="2" width="52.8515625" style="3" customWidth="1"/>
    <col min="3" max="3" width="24.28125" style="3" customWidth="1"/>
    <col min="4" max="4" width="24.140625" style="3" customWidth="1"/>
    <col min="5" max="5" width="24.00390625" style="3" customWidth="1"/>
    <col min="6" max="6" width="28.140625" style="3" customWidth="1"/>
    <col min="7" max="16384" width="11.421875" style="3" customWidth="1"/>
  </cols>
  <sheetData>
    <row r="1" spans="1:5" s="2" customFormat="1" ht="15">
      <c r="A1" s="53"/>
      <c r="B1" s="53"/>
      <c r="C1" s="1"/>
      <c r="D1" s="1"/>
      <c r="E1" s="1"/>
    </row>
    <row r="2" spans="1:5" s="2" customFormat="1" ht="15">
      <c r="A2" s="53"/>
      <c r="B2" s="53"/>
      <c r="C2" s="1"/>
      <c r="D2" s="1"/>
      <c r="E2" s="1"/>
    </row>
    <row r="3" spans="1:5" s="2" customFormat="1" ht="15">
      <c r="A3" s="53"/>
      <c r="B3" s="53"/>
      <c r="C3" s="1"/>
      <c r="D3" s="1"/>
      <c r="E3" s="1"/>
    </row>
    <row r="4" spans="1:5" s="2" customFormat="1" ht="15">
      <c r="A4" s="53"/>
      <c r="B4" s="53"/>
      <c r="C4" s="1"/>
      <c r="D4" s="1"/>
      <c r="E4" s="1"/>
    </row>
    <row r="5" spans="1:5" s="2" customFormat="1" ht="15">
      <c r="A5" s="53"/>
      <c r="B5" s="53"/>
      <c r="C5" s="1"/>
      <c r="D5" s="1"/>
      <c r="E5" s="1"/>
    </row>
    <row r="6" spans="1:5" s="2" customFormat="1" ht="15">
      <c r="A6" s="53"/>
      <c r="B6" s="53"/>
      <c r="C6" s="1"/>
      <c r="D6" s="1"/>
      <c r="E6" s="1"/>
    </row>
    <row r="7" spans="1:5" s="2" customFormat="1" ht="15">
      <c r="A7" s="53"/>
      <c r="B7" s="53"/>
      <c r="C7" s="1"/>
      <c r="D7" s="1"/>
      <c r="E7" s="1"/>
    </row>
    <row r="8" spans="1:6" s="2" customFormat="1" ht="15.75">
      <c r="A8" s="51" t="s">
        <v>23</v>
      </c>
      <c r="B8" s="51"/>
      <c r="C8" s="51"/>
      <c r="D8" s="51"/>
      <c r="E8" s="51"/>
      <c r="F8" s="51"/>
    </row>
    <row r="9" spans="1:6" s="2" customFormat="1" ht="15.75">
      <c r="A9" s="51" t="s">
        <v>27</v>
      </c>
      <c r="B9" s="51"/>
      <c r="C9" s="51"/>
      <c r="D9" s="51"/>
      <c r="E9" s="51"/>
      <c r="F9" s="51"/>
    </row>
    <row r="10" spans="1:6" s="2" customFormat="1" ht="15.75">
      <c r="A10" s="51" t="s">
        <v>24</v>
      </c>
      <c r="B10" s="51"/>
      <c r="C10" s="51"/>
      <c r="D10" s="51"/>
      <c r="E10" s="51"/>
      <c r="F10" s="51"/>
    </row>
    <row r="11" spans="1:6" s="2" customFormat="1" ht="3" customHeight="1" thickBot="1">
      <c r="A11" s="54"/>
      <c r="B11" s="54"/>
      <c r="C11" s="55"/>
      <c r="D11" s="55"/>
      <c r="E11" s="55"/>
      <c r="F11" s="55"/>
    </row>
    <row r="12" spans="1:6" ht="12" customHeight="1">
      <c r="A12" s="66" t="s">
        <v>0</v>
      </c>
      <c r="B12" s="67"/>
      <c r="C12" s="59" t="s">
        <v>1</v>
      </c>
      <c r="D12" s="60"/>
      <c r="E12" s="60"/>
      <c r="F12" s="61"/>
    </row>
    <row r="13" spans="1:6" s="4" customFormat="1" ht="12" customHeight="1" thickBot="1">
      <c r="A13" s="68"/>
      <c r="B13" s="69"/>
      <c r="C13" s="62"/>
      <c r="D13" s="63"/>
      <c r="E13" s="63"/>
      <c r="F13" s="64"/>
    </row>
    <row r="14" spans="1:7" s="2" customFormat="1" ht="15" customHeight="1" thickBot="1">
      <c r="A14" s="68"/>
      <c r="B14" s="69"/>
      <c r="C14" s="5" t="s">
        <v>22</v>
      </c>
      <c r="D14" s="6" t="s">
        <v>21</v>
      </c>
      <c r="E14" s="6" t="s">
        <v>20</v>
      </c>
      <c r="F14" s="7" t="s">
        <v>19</v>
      </c>
      <c r="G14" s="8"/>
    </row>
    <row r="15" spans="1:6" s="2" customFormat="1" ht="15" customHeight="1" thickBot="1">
      <c r="A15" s="70"/>
      <c r="B15" s="71"/>
      <c r="C15" s="46" t="s">
        <v>15</v>
      </c>
      <c r="D15" s="47" t="s">
        <v>16</v>
      </c>
      <c r="E15" s="47" t="s">
        <v>17</v>
      </c>
      <c r="F15" s="48" t="s">
        <v>18</v>
      </c>
    </row>
    <row r="16" spans="1:6" s="2" customFormat="1" ht="19.5" customHeight="1" hidden="1" thickBot="1" thickTop="1">
      <c r="A16" s="56">
        <v>2009</v>
      </c>
      <c r="B16" s="58"/>
      <c r="C16" s="9">
        <f>+C18</f>
        <v>816291</v>
      </c>
      <c r="D16" s="10">
        <f>SUM(D17:D24)</f>
        <v>508145.5</v>
      </c>
      <c r="E16" s="10">
        <f>SUM(E17:E24)</f>
        <v>896867.816347</v>
      </c>
      <c r="F16" s="11">
        <f>+F24</f>
        <v>427568.683653</v>
      </c>
    </row>
    <row r="17" spans="1:6" s="16" customFormat="1" ht="19.5" customHeight="1" hidden="1" thickTop="1">
      <c r="A17" s="12"/>
      <c r="B17" s="13" t="s">
        <v>2</v>
      </c>
      <c r="C17" s="14"/>
      <c r="D17" s="14"/>
      <c r="E17" s="14"/>
      <c r="F17" s="15">
        <f>816291000/1000</f>
        <v>816291</v>
      </c>
    </row>
    <row r="18" spans="1:6" s="16" customFormat="1" ht="19.5" customHeight="1" hidden="1">
      <c r="A18" s="12"/>
      <c r="B18" s="17" t="s">
        <v>3</v>
      </c>
      <c r="C18" s="18">
        <f aca="true" t="shared" si="0" ref="C18:C24">+F17</f>
        <v>816291</v>
      </c>
      <c r="D18" s="18">
        <f>14600000/1000</f>
        <v>14600</v>
      </c>
      <c r="E18" s="18">
        <f>14212000/1000</f>
        <v>14212</v>
      </c>
      <c r="F18" s="19">
        <f aca="true" t="shared" si="1" ref="F18:F24">+C18+D18-E18</f>
        <v>816679</v>
      </c>
    </row>
    <row r="19" spans="1:6" s="2" customFormat="1" ht="19.5" customHeight="1" hidden="1">
      <c r="A19" s="12"/>
      <c r="B19" s="17" t="s">
        <v>4</v>
      </c>
      <c r="C19" s="18">
        <f t="shared" si="0"/>
        <v>816679</v>
      </c>
      <c r="D19" s="18">
        <f>(16000000+12148000+4090000)/1000</f>
        <v>32238</v>
      </c>
      <c r="E19" s="18">
        <f>2500000/1000</f>
        <v>2500</v>
      </c>
      <c r="F19" s="18">
        <f t="shared" si="1"/>
        <v>846417</v>
      </c>
    </row>
    <row r="20" spans="1:6" s="2" customFormat="1" ht="19.5" customHeight="1" hidden="1">
      <c r="A20" s="12"/>
      <c r="B20" s="17" t="s">
        <v>5</v>
      </c>
      <c r="C20" s="18">
        <f>+F19</f>
        <v>846417</v>
      </c>
      <c r="D20" s="18">
        <f>(17904000+47023000+23385000)/1000</f>
        <v>88312</v>
      </c>
      <c r="E20" s="18">
        <f>(8301000+30000000+8400000+21585000)/1000</f>
        <v>68286</v>
      </c>
      <c r="F20" s="18">
        <f t="shared" si="1"/>
        <v>866443</v>
      </c>
    </row>
    <row r="21" spans="1:6" s="2" customFormat="1" ht="19.5" customHeight="1" hidden="1">
      <c r="A21" s="12"/>
      <c r="B21" s="17" t="s">
        <v>6</v>
      </c>
      <c r="C21" s="18">
        <f t="shared" si="0"/>
        <v>866443</v>
      </c>
      <c r="D21" s="18">
        <f>(24136200+12508000)/1000</f>
        <v>36644.2</v>
      </c>
      <c r="E21" s="18">
        <f>(34595000+3847000+6000000)/1000</f>
        <v>44442</v>
      </c>
      <c r="F21" s="18">
        <f t="shared" si="1"/>
        <v>858645.2</v>
      </c>
    </row>
    <row r="22" spans="1:6" s="2" customFormat="1" ht="19.5" customHeight="1" hidden="1">
      <c r="A22" s="12"/>
      <c r="B22" s="17" t="s">
        <v>7</v>
      </c>
      <c r="C22" s="18">
        <f t="shared" si="0"/>
        <v>858645.2</v>
      </c>
      <c r="D22" s="18">
        <f>(39497500+29308700+69668000+27000100)/1000</f>
        <v>165474.3</v>
      </c>
      <c r="E22" s="18">
        <f>(8500000+50000000+66155000)/1000</f>
        <v>124655</v>
      </c>
      <c r="F22" s="18">
        <f t="shared" si="1"/>
        <v>899464.5</v>
      </c>
    </row>
    <row r="23" spans="1:6" s="2" customFormat="1" ht="19.5" customHeight="1" hidden="1">
      <c r="A23" s="12"/>
      <c r="B23" s="17" t="s">
        <v>8</v>
      </c>
      <c r="C23" s="18">
        <f t="shared" si="0"/>
        <v>899464.5</v>
      </c>
      <c r="D23" s="18">
        <f>(26977000+15000000+79900000+49000000)/1000</f>
        <v>170877</v>
      </c>
      <c r="E23" s="18">
        <f>(57500000+1200000+7600000+15100000+51200000+70785000)/1000</f>
        <v>203385</v>
      </c>
      <c r="F23" s="18">
        <f t="shared" si="1"/>
        <v>866956.5</v>
      </c>
    </row>
    <row r="24" spans="1:6" s="2" customFormat="1" ht="19.5" customHeight="1" hidden="1" thickBot="1">
      <c r="A24" s="12"/>
      <c r="B24" s="20" t="s">
        <v>9</v>
      </c>
      <c r="C24" s="21">
        <f t="shared" si="0"/>
        <v>866956.5</v>
      </c>
      <c r="D24" s="21">
        <v>0</v>
      </c>
      <c r="E24" s="21">
        <f>(400000000+8768900+28236400-568800+82000+2869703.31-386.962999997195)/1000</f>
        <v>439387.816347</v>
      </c>
      <c r="F24" s="21">
        <f t="shared" si="1"/>
        <v>427568.683653</v>
      </c>
    </row>
    <row r="25" spans="1:6" s="2" customFormat="1" ht="19.5" customHeight="1" hidden="1" thickBot="1" thickTop="1">
      <c r="A25" s="56">
        <v>2010</v>
      </c>
      <c r="B25" s="57"/>
      <c r="C25" s="22">
        <f>+C26</f>
        <v>427568.683653</v>
      </c>
      <c r="D25" s="23">
        <f>SUM(D26:D37)</f>
        <v>537682</v>
      </c>
      <c r="E25" s="23">
        <f>SUM(E26:E37)</f>
        <v>774318.6836499999</v>
      </c>
      <c r="F25" s="24">
        <f>+F37</f>
        <v>190932.00000299996</v>
      </c>
    </row>
    <row r="26" spans="1:6" s="2" customFormat="1" ht="19.5" customHeight="1" hidden="1" thickTop="1">
      <c r="A26" s="12"/>
      <c r="B26" s="25" t="s">
        <v>10</v>
      </c>
      <c r="C26" s="26">
        <f>+F24</f>
        <v>427568.683653</v>
      </c>
      <c r="D26" s="26">
        <f>(20000000+14999900)/1000</f>
        <v>34999.9</v>
      </c>
      <c r="E26" s="26">
        <f>(29100000+300000)/1000</f>
        <v>29400</v>
      </c>
      <c r="F26" s="26">
        <f aca="true" t="shared" si="2" ref="F26:F37">+C26+D26-E26</f>
        <v>433168.583653</v>
      </c>
    </row>
    <row r="27" spans="1:6" s="2" customFormat="1" ht="19.5" customHeight="1" hidden="1">
      <c r="A27" s="12"/>
      <c r="B27" s="17" t="s">
        <v>11</v>
      </c>
      <c r="C27" s="18">
        <f aca="true" t="shared" si="3" ref="C27:C37">+F26</f>
        <v>433168.583653</v>
      </c>
      <c r="D27" s="18">
        <f>(25000000+27860000+33550000+5000100)/1000</f>
        <v>91410.1</v>
      </c>
      <c r="E27" s="18">
        <f>(147165400-82000+10000000+1750000+36500000)/1000</f>
        <v>195333.4</v>
      </c>
      <c r="F27" s="19">
        <f t="shared" si="2"/>
        <v>329245.283653</v>
      </c>
    </row>
    <row r="28" spans="1:6" s="2" customFormat="1" ht="19.5" customHeight="1" hidden="1">
      <c r="A28" s="12"/>
      <c r="B28" s="17" t="s">
        <v>12</v>
      </c>
      <c r="C28" s="18">
        <f t="shared" si="3"/>
        <v>329245.283653</v>
      </c>
      <c r="D28" s="18">
        <f>(24890000+20000000+10000000)/1000</f>
        <v>54890</v>
      </c>
      <c r="E28" s="18">
        <f>154799583.65/1000</f>
        <v>154799.58365000002</v>
      </c>
      <c r="F28" s="19">
        <f t="shared" si="2"/>
        <v>229335.700003</v>
      </c>
    </row>
    <row r="29" spans="1:6" s="2" customFormat="1" ht="19.5" customHeight="1" hidden="1">
      <c r="A29" s="12"/>
      <c r="B29" s="17" t="s">
        <v>13</v>
      </c>
      <c r="C29" s="18">
        <f t="shared" si="3"/>
        <v>229335.700003</v>
      </c>
      <c r="D29" s="18">
        <f>(25000000+15000000)/1000</f>
        <v>40000</v>
      </c>
      <c r="E29" s="18">
        <v>0</v>
      </c>
      <c r="F29" s="18">
        <f t="shared" si="2"/>
        <v>269335.700003</v>
      </c>
    </row>
    <row r="30" spans="1:6" s="2" customFormat="1" ht="19.5" customHeight="1" hidden="1">
      <c r="A30" s="12"/>
      <c r="B30" s="17" t="s">
        <v>14</v>
      </c>
      <c r="C30" s="18">
        <f t="shared" si="3"/>
        <v>269335.700003</v>
      </c>
      <c r="D30" s="18">
        <f>(2000000+26700000)/1000</f>
        <v>28700</v>
      </c>
      <c r="E30" s="18">
        <f>89889900/1000</f>
        <v>89889.9</v>
      </c>
      <c r="F30" s="18">
        <f t="shared" si="2"/>
        <v>208145.80000299998</v>
      </c>
    </row>
    <row r="31" spans="1:6" s="2" customFormat="1" ht="19.5" customHeight="1" hidden="1">
      <c r="A31" s="12"/>
      <c r="B31" s="17" t="s">
        <v>3</v>
      </c>
      <c r="C31" s="18">
        <f t="shared" si="3"/>
        <v>208145.80000299998</v>
      </c>
      <c r="D31" s="18">
        <f>(40855000+31150000)/1000</f>
        <v>72005</v>
      </c>
      <c r="E31" s="18">
        <f>133410100/1000</f>
        <v>133410.1</v>
      </c>
      <c r="F31" s="18">
        <f t="shared" si="2"/>
        <v>146740.70000299995</v>
      </c>
    </row>
    <row r="32" spans="1:6" s="28" customFormat="1" ht="19.5" customHeight="1" hidden="1">
      <c r="A32" s="27"/>
      <c r="B32" s="17" t="s">
        <v>4</v>
      </c>
      <c r="C32" s="18">
        <f t="shared" si="3"/>
        <v>146740.70000299995</v>
      </c>
      <c r="D32" s="18">
        <f>(35127000+24250000)/1000</f>
        <v>59377</v>
      </c>
      <c r="E32" s="18">
        <v>0</v>
      </c>
      <c r="F32" s="18">
        <f t="shared" si="2"/>
        <v>206117.70000299995</v>
      </c>
    </row>
    <row r="33" spans="1:6" s="2" customFormat="1" ht="19.5" customHeight="1" hidden="1">
      <c r="A33" s="12"/>
      <c r="B33" s="17" t="s">
        <v>5</v>
      </c>
      <c r="C33" s="18">
        <f t="shared" si="3"/>
        <v>206117.70000299995</v>
      </c>
      <c r="D33" s="18">
        <f>(30000000+28300000)/1000</f>
        <v>58300</v>
      </c>
      <c r="E33" s="18">
        <v>0</v>
      </c>
      <c r="F33" s="18">
        <f t="shared" si="2"/>
        <v>264417.700003</v>
      </c>
    </row>
    <row r="34" spans="1:6" s="2" customFormat="1" ht="19.5" customHeight="1" hidden="1">
      <c r="A34" s="12"/>
      <c r="B34" s="17" t="s">
        <v>6</v>
      </c>
      <c r="C34" s="18">
        <f t="shared" si="3"/>
        <v>264417.700003</v>
      </c>
      <c r="D34" s="18">
        <f>(1000000+1000000)/1000</f>
        <v>2000</v>
      </c>
      <c r="E34" s="18">
        <v>0</v>
      </c>
      <c r="F34" s="18">
        <f t="shared" si="2"/>
        <v>266417.700003</v>
      </c>
    </row>
    <row r="35" spans="1:6" s="2" customFormat="1" ht="19.5" customHeight="1" hidden="1">
      <c r="A35" s="12"/>
      <c r="B35" s="17" t="s">
        <v>7</v>
      </c>
      <c r="C35" s="18">
        <f t="shared" si="3"/>
        <v>266417.700003</v>
      </c>
      <c r="D35" s="18">
        <f>(10000000+55000000)/1000</f>
        <v>65000</v>
      </c>
      <c r="E35" s="18">
        <f>61650000/1000</f>
        <v>61650</v>
      </c>
      <c r="F35" s="18">
        <f t="shared" si="2"/>
        <v>269767.700003</v>
      </c>
    </row>
    <row r="36" spans="1:6" s="2" customFormat="1" ht="19.5" customHeight="1" hidden="1">
      <c r="A36" s="12"/>
      <c r="B36" s="17" t="s">
        <v>8</v>
      </c>
      <c r="C36" s="18">
        <f t="shared" si="3"/>
        <v>269767.700003</v>
      </c>
      <c r="D36" s="18">
        <f>(15000000+15000000)/1000</f>
        <v>30000</v>
      </c>
      <c r="E36" s="18">
        <f>54835700/1000</f>
        <v>54835.7</v>
      </c>
      <c r="F36" s="18">
        <f t="shared" si="2"/>
        <v>244932.00000299996</v>
      </c>
    </row>
    <row r="37" spans="1:6" s="28" customFormat="1" ht="19.5" customHeight="1" hidden="1" thickBot="1">
      <c r="A37" s="27"/>
      <c r="B37" s="17" t="s">
        <v>9</v>
      </c>
      <c r="C37" s="18">
        <f t="shared" si="3"/>
        <v>244932.00000299996</v>
      </c>
      <c r="D37" s="18">
        <f>1000000/1000</f>
        <v>1000</v>
      </c>
      <c r="E37" s="18">
        <f>55000000/1000</f>
        <v>55000</v>
      </c>
      <c r="F37" s="18">
        <f t="shared" si="2"/>
        <v>190932.00000299996</v>
      </c>
    </row>
    <row r="38" spans="1:6" s="2" customFormat="1" ht="19.5" customHeight="1" hidden="1" thickBot="1" thickTop="1">
      <c r="A38" s="56">
        <v>2011</v>
      </c>
      <c r="B38" s="57"/>
      <c r="C38" s="22">
        <f>+C39</f>
        <v>190932.00000299996</v>
      </c>
      <c r="D38" s="23">
        <f>SUM(D39:D50)</f>
        <v>786462</v>
      </c>
      <c r="E38" s="23">
        <f>SUM(E39:E50)</f>
        <v>407691</v>
      </c>
      <c r="F38" s="24">
        <f>+F50</f>
        <v>569703.000003</v>
      </c>
    </row>
    <row r="39" spans="1:6" s="2" customFormat="1" ht="19.5" customHeight="1" hidden="1" thickTop="1">
      <c r="A39" s="12"/>
      <c r="B39" s="25" t="s">
        <v>10</v>
      </c>
      <c r="C39" s="26">
        <f>+F37</f>
        <v>190932.00000299996</v>
      </c>
      <c r="D39" s="26">
        <f>(0+0)/1000</f>
        <v>0</v>
      </c>
      <c r="E39" s="26">
        <f>(0)/1000</f>
        <v>0</v>
      </c>
      <c r="F39" s="26">
        <f aca="true" t="shared" si="4" ref="F39:F50">+C39+D39-E39</f>
        <v>190932.00000299996</v>
      </c>
    </row>
    <row r="40" spans="1:6" s="2" customFormat="1" ht="19.5" customHeight="1" hidden="1">
      <c r="A40" s="12"/>
      <c r="B40" s="17" t="s">
        <v>11</v>
      </c>
      <c r="C40" s="18">
        <f aca="true" t="shared" si="5" ref="C40:C50">+F39</f>
        <v>190932.00000299996</v>
      </c>
      <c r="D40" s="18">
        <f>(30000000+17000000)/1000</f>
        <v>47000</v>
      </c>
      <c r="E40" s="18">
        <f>(0)/1000</f>
        <v>0</v>
      </c>
      <c r="F40" s="19">
        <f t="shared" si="4"/>
        <v>237932.00000299996</v>
      </c>
    </row>
    <row r="41" spans="1:6" s="2" customFormat="1" ht="19.5" customHeight="1" hidden="1">
      <c r="A41" s="12"/>
      <c r="B41" s="17" t="s">
        <v>12</v>
      </c>
      <c r="C41" s="18">
        <f t="shared" si="5"/>
        <v>237932.00000299996</v>
      </c>
      <c r="D41" s="18">
        <f>(29510000+52000000+30246000+36102000)/1000</f>
        <v>147858</v>
      </c>
      <c r="E41" s="18">
        <f>(120477000)/1000</f>
        <v>120477</v>
      </c>
      <c r="F41" s="19">
        <f t="shared" si="4"/>
        <v>265313.00000299996</v>
      </c>
    </row>
    <row r="42" spans="1:6" s="2" customFormat="1" ht="19.5" customHeight="1" hidden="1">
      <c r="A42" s="12"/>
      <c r="B42" s="17" t="s">
        <v>13</v>
      </c>
      <c r="C42" s="18">
        <f t="shared" si="5"/>
        <v>265313.00000299996</v>
      </c>
      <c r="D42" s="18">
        <f>(32000000+19550000)/1000</f>
        <v>51550</v>
      </c>
      <c r="E42" s="18">
        <v>0</v>
      </c>
      <c r="F42" s="19">
        <f t="shared" si="4"/>
        <v>316863.00000299996</v>
      </c>
    </row>
    <row r="43" spans="1:6" s="2" customFormat="1" ht="19.5" customHeight="1" hidden="1">
      <c r="A43" s="12"/>
      <c r="B43" s="17" t="s">
        <v>14</v>
      </c>
      <c r="C43" s="18">
        <f t="shared" si="5"/>
        <v>316863.00000299996</v>
      </c>
      <c r="D43" s="18">
        <f>(15000000+9260000)/1000</f>
        <v>24260</v>
      </c>
      <c r="E43" s="18">
        <f>(30000000)/1000</f>
        <v>30000</v>
      </c>
      <c r="F43" s="19">
        <f t="shared" si="4"/>
        <v>311123.00000299996</v>
      </c>
    </row>
    <row r="44" spans="1:6" s="2" customFormat="1" ht="19.5" customHeight="1" hidden="1">
      <c r="A44" s="12"/>
      <c r="B44" s="17" t="s">
        <v>3</v>
      </c>
      <c r="C44" s="18">
        <f t="shared" si="5"/>
        <v>311123.00000299996</v>
      </c>
      <c r="D44" s="18">
        <f>(16925000+31798000)/1000</f>
        <v>48723</v>
      </c>
      <c r="E44" s="18">
        <f>(44642000)/1000</f>
        <v>44642</v>
      </c>
      <c r="F44" s="19">
        <f t="shared" si="4"/>
        <v>315204.00000299996</v>
      </c>
    </row>
    <row r="45" spans="1:6" s="2" customFormat="1" ht="19.5" customHeight="1" hidden="1">
      <c r="A45" s="12"/>
      <c r="B45" s="17" t="s">
        <v>4</v>
      </c>
      <c r="C45" s="18">
        <f t="shared" si="5"/>
        <v>315204.00000299996</v>
      </c>
      <c r="D45" s="18">
        <f>(43400000+34013000+52500000)/1000</f>
        <v>129913</v>
      </c>
      <c r="E45" s="18">
        <v>0</v>
      </c>
      <c r="F45" s="19">
        <f t="shared" si="4"/>
        <v>445117.00000299996</v>
      </c>
    </row>
    <row r="46" spans="1:6" s="2" customFormat="1" ht="19.5" customHeight="1" hidden="1">
      <c r="A46" s="12"/>
      <c r="B46" s="17" t="s">
        <v>5</v>
      </c>
      <c r="C46" s="18">
        <f t="shared" si="5"/>
        <v>445117.00000299996</v>
      </c>
      <c r="D46" s="18">
        <f>(43960000+33060000+20770000)/1000</f>
        <v>97790</v>
      </c>
      <c r="E46" s="18">
        <f>(25813000+53910000)/1000</f>
        <v>79723</v>
      </c>
      <c r="F46" s="19">
        <f t="shared" si="4"/>
        <v>463184.000003</v>
      </c>
    </row>
    <row r="47" spans="1:6" s="2" customFormat="1" ht="19.5" customHeight="1" hidden="1">
      <c r="A47" s="12"/>
      <c r="B47" s="17" t="s">
        <v>6</v>
      </c>
      <c r="C47" s="18">
        <f t="shared" si="5"/>
        <v>463184.000003</v>
      </c>
      <c r="D47" s="18">
        <f>(41190000+12650000+22818000)/1000</f>
        <v>76658</v>
      </c>
      <c r="E47" s="18">
        <f>(28114000)/1000</f>
        <v>28114</v>
      </c>
      <c r="F47" s="19">
        <f t="shared" si="4"/>
        <v>511728.000003</v>
      </c>
    </row>
    <row r="48" spans="1:6" s="2" customFormat="1" ht="19.5" customHeight="1" hidden="1">
      <c r="A48" s="12"/>
      <c r="B48" s="17" t="s">
        <v>7</v>
      </c>
      <c r="C48" s="18">
        <f t="shared" si="5"/>
        <v>511728.000003</v>
      </c>
      <c r="D48" s="18">
        <f>(13250000+11225000+6250000+5120000)/1000</f>
        <v>35845</v>
      </c>
      <c r="E48" s="18">
        <v>0</v>
      </c>
      <c r="F48" s="19">
        <f t="shared" si="4"/>
        <v>547573.000003</v>
      </c>
    </row>
    <row r="49" spans="1:6" s="2" customFormat="1" ht="19.5" customHeight="1" hidden="1">
      <c r="A49" s="12"/>
      <c r="B49" s="17" t="s">
        <v>8</v>
      </c>
      <c r="C49" s="18">
        <f t="shared" si="5"/>
        <v>547573.000003</v>
      </c>
      <c r="D49" s="18">
        <f>(11945000+16288000+10850000)/1000</f>
        <v>39083</v>
      </c>
      <c r="E49" s="18">
        <f>(56335000)/1000</f>
        <v>56335</v>
      </c>
      <c r="F49" s="19">
        <f t="shared" si="4"/>
        <v>530321.000003</v>
      </c>
    </row>
    <row r="50" spans="1:6" s="2" customFormat="1" ht="19.5" customHeight="1" hidden="1" thickBot="1">
      <c r="A50" s="12"/>
      <c r="B50" s="17" t="s">
        <v>9</v>
      </c>
      <c r="C50" s="18">
        <f t="shared" si="5"/>
        <v>530321.000003</v>
      </c>
      <c r="D50" s="18">
        <f>(22555000+14800000+44975000+5452000)/1000</f>
        <v>87782</v>
      </c>
      <c r="E50" s="18">
        <f>(48400000)/1000</f>
        <v>48400</v>
      </c>
      <c r="F50" s="19">
        <f t="shared" si="4"/>
        <v>569703.000003</v>
      </c>
    </row>
    <row r="51" spans="1:6" s="2" customFormat="1" ht="19.5" customHeight="1" hidden="1" thickBot="1" thickTop="1">
      <c r="A51" s="56">
        <v>2012</v>
      </c>
      <c r="B51" s="57"/>
      <c r="C51" s="22">
        <f>+C52</f>
        <v>569703.000003</v>
      </c>
      <c r="D51" s="23">
        <f>SUM(D52:D63)</f>
        <v>1159467.8</v>
      </c>
      <c r="E51" s="23">
        <f>SUM(E52:E63)</f>
        <v>862394.1</v>
      </c>
      <c r="F51" s="24">
        <f>+F63</f>
        <v>866776.7000030001</v>
      </c>
    </row>
    <row r="52" spans="1:6" s="2" customFormat="1" ht="19.5" customHeight="1" hidden="1" thickTop="1">
      <c r="A52" s="12"/>
      <c r="B52" s="25" t="s">
        <v>10</v>
      </c>
      <c r="C52" s="26">
        <f>+F50</f>
        <v>569703.000003</v>
      </c>
      <c r="D52" s="26">
        <f>(2000000+16820000)/1000</f>
        <v>18820</v>
      </c>
      <c r="E52" s="26">
        <f>(0)/1000</f>
        <v>0</v>
      </c>
      <c r="F52" s="26">
        <f aca="true" t="shared" si="6" ref="F52:F63">+C52+D52-E52</f>
        <v>588523.000003</v>
      </c>
    </row>
    <row r="53" spans="1:6" s="2" customFormat="1" ht="19.5" customHeight="1" hidden="1">
      <c r="A53" s="12"/>
      <c r="B53" s="17" t="s">
        <v>11</v>
      </c>
      <c r="C53" s="18">
        <f aca="true" t="shared" si="7" ref="C53:C63">+F52</f>
        <v>588523.000003</v>
      </c>
      <c r="D53" s="18">
        <f>(23000000+21450000+10465000)/1000</f>
        <v>54915</v>
      </c>
      <c r="E53" s="18">
        <f>(67384000)/1000</f>
        <v>67384</v>
      </c>
      <c r="F53" s="19">
        <f t="shared" si="6"/>
        <v>576054.000003</v>
      </c>
    </row>
    <row r="54" spans="1:6" s="2" customFormat="1" ht="19.5" customHeight="1" hidden="1">
      <c r="A54" s="12"/>
      <c r="B54" s="17" t="s">
        <v>12</v>
      </c>
      <c r="C54" s="18">
        <f t="shared" si="7"/>
        <v>576054.000003</v>
      </c>
      <c r="D54" s="18">
        <f>(16050000+20925000+19325000+29500000+7620000+85900000)/1000</f>
        <v>179320</v>
      </c>
      <c r="E54" s="18">
        <f>(44325000)/1000</f>
        <v>44325</v>
      </c>
      <c r="F54" s="19">
        <f t="shared" si="6"/>
        <v>711049.000003</v>
      </c>
    </row>
    <row r="55" spans="1:6" s="2" customFormat="1" ht="19.5" customHeight="1" hidden="1">
      <c r="A55" s="12"/>
      <c r="B55" s="17" t="s">
        <v>13</v>
      </c>
      <c r="C55" s="18">
        <f t="shared" si="7"/>
        <v>711049.000003</v>
      </c>
      <c r="D55" s="18">
        <f>(10373000+13060000+17990000)/1000</f>
        <v>41423</v>
      </c>
      <c r="E55" s="18">
        <f>(83648000+29500000)/1000</f>
        <v>113148</v>
      </c>
      <c r="F55" s="19">
        <f t="shared" si="6"/>
        <v>639324.000003</v>
      </c>
    </row>
    <row r="56" spans="1:6" s="2" customFormat="1" ht="19.5" customHeight="1" hidden="1">
      <c r="A56" s="12"/>
      <c r="B56" s="17" t="s">
        <v>14</v>
      </c>
      <c r="C56" s="18">
        <f t="shared" si="7"/>
        <v>639324.000003</v>
      </c>
      <c r="D56" s="18">
        <f>(14280000+25250000+40662000+18384000)/1000</f>
        <v>98576</v>
      </c>
      <c r="E56" s="18">
        <f>(23000000+83793000)/1000</f>
        <v>106793</v>
      </c>
      <c r="F56" s="19">
        <f t="shared" si="6"/>
        <v>631107.000003</v>
      </c>
    </row>
    <row r="57" spans="1:6" s="2" customFormat="1" ht="19.5" customHeight="1" hidden="1">
      <c r="A57" s="12"/>
      <c r="B57" s="17" t="s">
        <v>3</v>
      </c>
      <c r="C57" s="18">
        <f t="shared" si="7"/>
        <v>631107.000003</v>
      </c>
      <c r="D57" s="18">
        <f>(1838000+23800000+3918000+61946100)/1000</f>
        <v>91502.1</v>
      </c>
      <c r="E57" s="18">
        <f>(49850000)/1000</f>
        <v>49850</v>
      </c>
      <c r="F57" s="19">
        <f t="shared" si="6"/>
        <v>672759.100003</v>
      </c>
    </row>
    <row r="58" spans="1:6" s="2" customFormat="1" ht="19.5" customHeight="1" hidden="1">
      <c r="A58" s="12"/>
      <c r="B58" s="17" t="s">
        <v>4</v>
      </c>
      <c r="C58" s="18">
        <f t="shared" si="7"/>
        <v>672759.100003</v>
      </c>
      <c r="D58" s="18">
        <f>(37068000+17855000+20460000+56375000)/1000</f>
        <v>131758</v>
      </c>
      <c r="E58" s="18">
        <f>(81513000)/1000</f>
        <v>81513</v>
      </c>
      <c r="F58" s="19">
        <f t="shared" si="6"/>
        <v>723004.100003</v>
      </c>
    </row>
    <row r="59" spans="1:6" s="2" customFormat="1" ht="19.5" customHeight="1" hidden="1">
      <c r="A59" s="12"/>
      <c r="B59" s="17" t="s">
        <v>5</v>
      </c>
      <c r="C59" s="18">
        <f t="shared" si="7"/>
        <v>723004.100003</v>
      </c>
      <c r="D59" s="18">
        <f>(47535000+9350000+15040000+13550000+14980000)/1000</f>
        <v>100455</v>
      </c>
      <c r="E59" s="18">
        <f>(95520000)/1000</f>
        <v>95520</v>
      </c>
      <c r="F59" s="19">
        <f t="shared" si="6"/>
        <v>727939.100003</v>
      </c>
    </row>
    <row r="60" spans="1:6" s="2" customFormat="1" ht="19.5" customHeight="1" hidden="1">
      <c r="A60" s="12"/>
      <c r="B60" s="17" t="s">
        <v>6</v>
      </c>
      <c r="C60" s="18">
        <f t="shared" si="7"/>
        <v>727939.100003</v>
      </c>
      <c r="D60" s="18">
        <f>(12217000+36405000+10763300+34500000)/1000</f>
        <v>93885.3</v>
      </c>
      <c r="E60" s="18">
        <f>(27325000+40152000+11486100)/1000</f>
        <v>78963.1</v>
      </c>
      <c r="F60" s="19">
        <f t="shared" si="6"/>
        <v>742861.3000030001</v>
      </c>
    </row>
    <row r="61" spans="1:6" s="2" customFormat="1" ht="19.5" customHeight="1" hidden="1">
      <c r="A61" s="12"/>
      <c r="B61" s="17" t="s">
        <v>7</v>
      </c>
      <c r="C61" s="18">
        <f t="shared" si="7"/>
        <v>742861.3000030001</v>
      </c>
      <c r="D61" s="18">
        <f>(37471000+25898000+18995000+46298400)/1000</f>
        <v>128662.4</v>
      </c>
      <c r="E61" s="18">
        <f>(74388000+26660000)/1000</f>
        <v>101048</v>
      </c>
      <c r="F61" s="19">
        <f t="shared" si="6"/>
        <v>770475.7000030001</v>
      </c>
    </row>
    <row r="62" spans="1:6" s="2" customFormat="1" ht="19.5" customHeight="1" hidden="1">
      <c r="A62" s="12"/>
      <c r="B62" s="17" t="s">
        <v>8</v>
      </c>
      <c r="C62" s="18">
        <f t="shared" si="7"/>
        <v>770475.7000030001</v>
      </c>
      <c r="D62" s="18">
        <f>(25706000+18674000+13019000+11864000+38997000)/1000</f>
        <v>108260</v>
      </c>
      <c r="E62" s="18">
        <f>(39132000+35250000)/1000</f>
        <v>74382</v>
      </c>
      <c r="F62" s="19">
        <f t="shared" si="6"/>
        <v>804353.7000030001</v>
      </c>
    </row>
    <row r="63" spans="1:6" s="2" customFormat="1" ht="19.5" customHeight="1" hidden="1" thickBot="1">
      <c r="A63" s="12"/>
      <c r="B63" s="17" t="s">
        <v>9</v>
      </c>
      <c r="C63" s="18">
        <f t="shared" si="7"/>
        <v>804353.7000030001</v>
      </c>
      <c r="D63" s="18">
        <f>(41491000+24400000+46000000)/1000</f>
        <v>111891</v>
      </c>
      <c r="E63" s="18">
        <f>(31500000+17968000)/1000</f>
        <v>49468</v>
      </c>
      <c r="F63" s="19">
        <f t="shared" si="6"/>
        <v>866776.7000030001</v>
      </c>
    </row>
    <row r="64" spans="1:6" s="2" customFormat="1" ht="19.5" customHeight="1" hidden="1" thickBot="1" thickTop="1">
      <c r="A64" s="49"/>
      <c r="B64" s="50">
        <v>2013</v>
      </c>
      <c r="C64" s="22">
        <f>+C65</f>
        <v>866776.7000030001</v>
      </c>
      <c r="D64" s="23">
        <f>SUM(D65:D76)</f>
        <v>707047</v>
      </c>
      <c r="E64" s="23">
        <f>SUM(E65:E76)</f>
        <v>945561.6999999998</v>
      </c>
      <c r="F64" s="24">
        <f>+F76</f>
        <v>628262.0000030001</v>
      </c>
    </row>
    <row r="65" spans="1:6" s="2" customFormat="1" ht="19.5" customHeight="1" hidden="1" thickTop="1">
      <c r="A65" s="12"/>
      <c r="B65" s="25" t="s">
        <v>10</v>
      </c>
      <c r="C65" s="26">
        <f>+F63</f>
        <v>866776.7000030001</v>
      </c>
      <c r="D65" s="26">
        <f>(30000000+68285000)/1000</f>
        <v>98285</v>
      </c>
      <c r="E65" s="26">
        <f>(303730400+100801300-(9800))/1000</f>
        <v>404521.9</v>
      </c>
      <c r="F65" s="26">
        <f aca="true" t="shared" si="8" ref="F65:F72">+C65+D65-E65</f>
        <v>560539.8000030001</v>
      </c>
    </row>
    <row r="66" spans="1:6" s="2" customFormat="1" ht="19.5" customHeight="1" hidden="1">
      <c r="A66" s="12"/>
      <c r="B66" s="17" t="s">
        <v>11</v>
      </c>
      <c r="C66" s="18">
        <f aca="true" t="shared" si="9" ref="C66:C74">+F65</f>
        <v>560539.8000030001</v>
      </c>
      <c r="D66" s="18">
        <f>(52800000+26300000)/1000</f>
        <v>79100</v>
      </c>
      <c r="E66" s="18">
        <f>(0)/1000</f>
        <v>0</v>
      </c>
      <c r="F66" s="19">
        <f t="shared" si="8"/>
        <v>639639.8000030001</v>
      </c>
    </row>
    <row r="67" spans="1:6" s="2" customFormat="1" ht="19.5" customHeight="1" hidden="1">
      <c r="A67" s="12"/>
      <c r="B67" s="17" t="s">
        <v>12</v>
      </c>
      <c r="C67" s="18">
        <f t="shared" si="9"/>
        <v>639639.8000030001</v>
      </c>
      <c r="D67" s="18">
        <f>(35791000+25525000)/1000</f>
        <v>61316</v>
      </c>
      <c r="E67" s="18">
        <v>0</v>
      </c>
      <c r="F67" s="19">
        <f t="shared" si="8"/>
        <v>700955.8000030001</v>
      </c>
    </row>
    <row r="68" spans="1:6" s="2" customFormat="1" ht="19.5" customHeight="1" hidden="1">
      <c r="A68" s="12"/>
      <c r="B68" s="17" t="s">
        <v>13</v>
      </c>
      <c r="C68" s="18">
        <f t="shared" si="9"/>
        <v>700955.8000030001</v>
      </c>
      <c r="D68" s="18">
        <f>(3300000+11127000)/1000</f>
        <v>14427</v>
      </c>
      <c r="E68" s="18">
        <v>0</v>
      </c>
      <c r="F68" s="19">
        <f t="shared" si="8"/>
        <v>715382.8000030001</v>
      </c>
    </row>
    <row r="69" spans="1:6" s="2" customFormat="1" ht="19.5" customHeight="1" hidden="1">
      <c r="A69" s="12"/>
      <c r="B69" s="17" t="s">
        <v>14</v>
      </c>
      <c r="C69" s="18">
        <f t="shared" si="9"/>
        <v>715382.8000030001</v>
      </c>
      <c r="D69" s="18">
        <f>(0)/1000</f>
        <v>0</v>
      </c>
      <c r="E69" s="18">
        <f>(3009800+29910000+28084000+27158000)/1000</f>
        <v>88161.8</v>
      </c>
      <c r="F69" s="19">
        <f t="shared" si="8"/>
        <v>627221.000003</v>
      </c>
    </row>
    <row r="70" spans="1:6" s="2" customFormat="1" ht="19.5" customHeight="1" hidden="1">
      <c r="A70" s="12"/>
      <c r="B70" s="17" t="s">
        <v>3</v>
      </c>
      <c r="C70" s="18">
        <f t="shared" si="9"/>
        <v>627221.000003</v>
      </c>
      <c r="D70" s="18">
        <f>(33250000+10012000+29320000)/1000</f>
        <v>72582</v>
      </c>
      <c r="E70" s="18">
        <f>(40102000+37421000)/1000</f>
        <v>77523</v>
      </c>
      <c r="F70" s="19">
        <f t="shared" si="8"/>
        <v>622280.000003</v>
      </c>
    </row>
    <row r="71" spans="1:6" s="2" customFormat="1" ht="19.5" customHeight="1" hidden="1">
      <c r="A71" s="12"/>
      <c r="B71" s="17" t="s">
        <v>4</v>
      </c>
      <c r="C71" s="18">
        <f t="shared" si="9"/>
        <v>622280.000003</v>
      </c>
      <c r="D71" s="18">
        <f>(23555000+28300000+33910000+18267000)/1000</f>
        <v>104032</v>
      </c>
      <c r="E71" s="18">
        <f>(24405000+177239100)/1000</f>
        <v>201644.1</v>
      </c>
      <c r="F71" s="19">
        <f t="shared" si="8"/>
        <v>524667.900003</v>
      </c>
    </row>
    <row r="72" spans="1:6" s="2" customFormat="1" ht="19.5" customHeight="1" hidden="1">
      <c r="A72" s="12"/>
      <c r="B72" s="17" t="s">
        <v>5</v>
      </c>
      <c r="C72" s="18">
        <f t="shared" si="9"/>
        <v>524667.900003</v>
      </c>
      <c r="D72" s="18">
        <f>(28000000+11500000)/1000</f>
        <v>39500</v>
      </c>
      <c r="E72" s="18">
        <f>(0)/1000</f>
        <v>0</v>
      </c>
      <c r="F72" s="19">
        <f t="shared" si="8"/>
        <v>564167.900003</v>
      </c>
    </row>
    <row r="73" spans="1:6" s="2" customFormat="1" ht="19.5" customHeight="1" hidden="1">
      <c r="A73" s="12"/>
      <c r="B73" s="17" t="s">
        <v>6</v>
      </c>
      <c r="C73" s="18">
        <f t="shared" si="9"/>
        <v>564167.900003</v>
      </c>
      <c r="D73" s="18">
        <f>(17640000+9500000+9900000+14550000)/1000</f>
        <v>51590</v>
      </c>
      <c r="E73" s="18">
        <f>(26801200)/1000</f>
        <v>26801.2</v>
      </c>
      <c r="F73" s="19">
        <f>+C73+D73-E73</f>
        <v>588956.7000030001</v>
      </c>
    </row>
    <row r="74" spans="1:6" s="2" customFormat="1" ht="19.5" customHeight="1" hidden="1">
      <c r="A74" s="12"/>
      <c r="B74" s="17" t="s">
        <v>7</v>
      </c>
      <c r="C74" s="18">
        <f t="shared" si="9"/>
        <v>588956.7000030001</v>
      </c>
      <c r="D74" s="18">
        <f>(4000000+2210000+7200000+9765000+24600000)/1000</f>
        <v>47775</v>
      </c>
      <c r="E74" s="18">
        <f>(30181000+29000000)/1000</f>
        <v>59181</v>
      </c>
      <c r="F74" s="19">
        <f>+C74+D74-E74</f>
        <v>577550.7000030001</v>
      </c>
    </row>
    <row r="75" spans="1:6" s="2" customFormat="1" ht="19.5" customHeight="1" hidden="1">
      <c r="A75" s="12"/>
      <c r="B75" s="17" t="s">
        <v>8</v>
      </c>
      <c r="C75" s="18">
        <f>+F74</f>
        <v>577550.7000030001</v>
      </c>
      <c r="D75" s="18">
        <f>(15980000+16990000+13750000+15950000)/1000</f>
        <v>62670</v>
      </c>
      <c r="E75" s="18">
        <f>(4350000+61180000)/1000</f>
        <v>65530</v>
      </c>
      <c r="F75" s="19">
        <f>+C75+D75-E75</f>
        <v>574690.7000030001</v>
      </c>
    </row>
    <row r="76" spans="1:6" s="2" customFormat="1" ht="19.5" customHeight="1" hidden="1" thickBot="1">
      <c r="A76" s="29"/>
      <c r="B76" s="30" t="s">
        <v>9</v>
      </c>
      <c r="C76" s="31">
        <f>+F75</f>
        <v>574690.7000030001</v>
      </c>
      <c r="D76" s="31">
        <f>(19700000+17250000+38820000)/1000</f>
        <v>75770</v>
      </c>
      <c r="E76" s="31">
        <f>(22198700)/1000</f>
        <v>22198.7</v>
      </c>
      <c r="F76" s="32">
        <f>+C76+D76-E76</f>
        <v>628262.0000030001</v>
      </c>
    </row>
    <row r="77" spans="1:6" s="2" customFormat="1" ht="19.5" customHeight="1" hidden="1" thickBot="1" thickTop="1">
      <c r="A77" s="56">
        <v>2014</v>
      </c>
      <c r="B77" s="57"/>
      <c r="C77" s="22">
        <f>+C78</f>
        <v>628262.0000030001</v>
      </c>
      <c r="D77" s="23">
        <f>SUM(D78:D89)</f>
        <v>1190078.5</v>
      </c>
      <c r="E77" s="23">
        <f>SUM(E78:E89)</f>
        <v>1489980.099993</v>
      </c>
      <c r="F77" s="24">
        <f>+F89</f>
        <v>328360.4000100001</v>
      </c>
    </row>
    <row r="78" spans="1:6" s="2" customFormat="1" ht="19.5" customHeight="1" hidden="1" thickTop="1">
      <c r="A78" s="33"/>
      <c r="B78" s="34" t="s">
        <v>10</v>
      </c>
      <c r="C78" s="26">
        <f>+F76</f>
        <v>628262.0000030001</v>
      </c>
      <c r="D78" s="26">
        <f>(15810000+56399500+37855000+33800000)/1000</f>
        <v>143864.5</v>
      </c>
      <c r="E78" s="26">
        <f>(72300000)/1000</f>
        <v>72300</v>
      </c>
      <c r="F78" s="26">
        <f aca="true" t="shared" si="10" ref="F78:F83">+C78+D78-E78</f>
        <v>699826.5000030001</v>
      </c>
    </row>
    <row r="79" spans="1:6" s="2" customFormat="1" ht="19.5" customHeight="1" hidden="1">
      <c r="A79" s="12"/>
      <c r="B79" s="17" t="s">
        <v>11</v>
      </c>
      <c r="C79" s="18">
        <f aca="true" t="shared" si="11" ref="C79:C84">+F78</f>
        <v>699826.5000030001</v>
      </c>
      <c r="D79" s="18">
        <f>(5350000+54387000+22720000+15808000)/1000</f>
        <v>98265</v>
      </c>
      <c r="E79" s="18">
        <f>(25000000+54411000)/1000</f>
        <v>79411</v>
      </c>
      <c r="F79" s="19">
        <f t="shared" si="10"/>
        <v>718680.5000030001</v>
      </c>
    </row>
    <row r="80" spans="1:6" s="2" customFormat="1" ht="19.5" customHeight="1" hidden="1">
      <c r="A80" s="12"/>
      <c r="B80" s="17" t="s">
        <v>12</v>
      </c>
      <c r="C80" s="18">
        <f t="shared" si="11"/>
        <v>718680.5000030001</v>
      </c>
      <c r="D80" s="18">
        <f>(40122000+16709000+41881000+30510000)/1000</f>
        <v>129222</v>
      </c>
      <c r="E80" s="18">
        <f>(47987000+15959500)/1000</f>
        <v>63946.5</v>
      </c>
      <c r="F80" s="19">
        <f t="shared" si="10"/>
        <v>783956.0000030001</v>
      </c>
    </row>
    <row r="81" spans="1:6" s="2" customFormat="1" ht="19.5" customHeight="1" hidden="1">
      <c r="A81" s="12"/>
      <c r="B81" s="17" t="s">
        <v>13</v>
      </c>
      <c r="C81" s="18">
        <f t="shared" si="11"/>
        <v>783956.0000030001</v>
      </c>
      <c r="D81" s="18">
        <f>(13370000+30840000)/1000</f>
        <v>44210</v>
      </c>
      <c r="E81" s="18">
        <f>(49895000+27000000+3910000)/1000</f>
        <v>80805</v>
      </c>
      <c r="F81" s="19">
        <f t="shared" si="10"/>
        <v>747361.0000030001</v>
      </c>
    </row>
    <row r="82" spans="1:6" s="2" customFormat="1" ht="19.5" customHeight="1" hidden="1">
      <c r="A82" s="12"/>
      <c r="B82" s="17" t="s">
        <v>14</v>
      </c>
      <c r="C82" s="18">
        <f t="shared" si="11"/>
        <v>747361.0000030001</v>
      </c>
      <c r="D82" s="18">
        <f>(7550000+50900000)/1000</f>
        <v>58450</v>
      </c>
      <c r="E82" s="18">
        <f>(7000000+18340000+50600000+24360000+24060000)/1000</f>
        <v>124360</v>
      </c>
      <c r="F82" s="19">
        <f t="shared" si="10"/>
        <v>681451.0000030001</v>
      </c>
    </row>
    <row r="83" spans="1:6" s="2" customFormat="1" ht="19.5" customHeight="1" hidden="1">
      <c r="A83" s="12"/>
      <c r="B83" s="17" t="s">
        <v>3</v>
      </c>
      <c r="C83" s="18">
        <f t="shared" si="11"/>
        <v>681451.0000030001</v>
      </c>
      <c r="D83" s="18">
        <f>(40200000+37500000+22300000+20390000)/1000</f>
        <v>120390</v>
      </c>
      <c r="E83" s="18">
        <f>(19545000+22332000+7000000+13127000)/1000</f>
        <v>62004</v>
      </c>
      <c r="F83" s="19">
        <f t="shared" si="10"/>
        <v>739837.0000030001</v>
      </c>
    </row>
    <row r="84" spans="1:6" s="2" customFormat="1" ht="19.5" customHeight="1" hidden="1">
      <c r="A84" s="12"/>
      <c r="B84" s="17" t="s">
        <v>4</v>
      </c>
      <c r="C84" s="18">
        <f t="shared" si="11"/>
        <v>739837.0000030001</v>
      </c>
      <c r="D84" s="18">
        <f>(27500000+50260000+37294000+27630000+43690000)/1000</f>
        <v>186374</v>
      </c>
      <c r="E84" s="18">
        <f>(51855000+36327000)/1000</f>
        <v>88182</v>
      </c>
      <c r="F84" s="19">
        <f aca="true" t="shared" si="12" ref="F84:F89">+C84+D84-E84</f>
        <v>838029.0000030001</v>
      </c>
    </row>
    <row r="85" spans="1:6" s="2" customFormat="1" ht="19.5" customHeight="1" hidden="1">
      <c r="A85" s="12"/>
      <c r="B85" s="17" t="s">
        <v>5</v>
      </c>
      <c r="C85" s="18">
        <f>+F84</f>
        <v>838029.0000030001</v>
      </c>
      <c r="D85" s="18">
        <f>(58595000+29740000+9225000)/1000</f>
        <v>97560</v>
      </c>
      <c r="E85" s="18">
        <f>(26820000+13600000+2310000+19025000)/1000</f>
        <v>61755</v>
      </c>
      <c r="F85" s="19">
        <f t="shared" si="12"/>
        <v>873834.0000030001</v>
      </c>
    </row>
    <row r="86" spans="1:6" s="2" customFormat="1" ht="19.5" customHeight="1" hidden="1">
      <c r="A86" s="12"/>
      <c r="B86" s="17" t="s">
        <v>6</v>
      </c>
      <c r="C86" s="18">
        <f>+F85</f>
        <v>873834.0000030001</v>
      </c>
      <c r="D86" s="18">
        <f>(1500000+26455000+44215000+72000000)/1000</f>
        <v>144170</v>
      </c>
      <c r="E86" s="18">
        <f>(38890000+818326500.49-0.497+100)/1000</f>
        <v>857216.599993</v>
      </c>
      <c r="F86" s="19">
        <f t="shared" si="12"/>
        <v>160787.4000100001</v>
      </c>
    </row>
    <row r="87" spans="1:6" s="2" customFormat="1" ht="19.5" customHeight="1" hidden="1">
      <c r="A87" s="12"/>
      <c r="B87" s="17" t="s">
        <v>7</v>
      </c>
      <c r="C87" s="18">
        <f>+F86</f>
        <v>160787.4000100001</v>
      </c>
      <c r="D87" s="18">
        <f>(61700000)/1000</f>
        <v>61700</v>
      </c>
      <c r="E87" s="18">
        <f>(0)/1000</f>
        <v>0</v>
      </c>
      <c r="F87" s="19">
        <f t="shared" si="12"/>
        <v>222487.4000100001</v>
      </c>
    </row>
    <row r="88" spans="1:6" s="2" customFormat="1" ht="19.5" customHeight="1" hidden="1">
      <c r="A88" s="12"/>
      <c r="B88" s="17" t="s">
        <v>8</v>
      </c>
      <c r="C88" s="18">
        <f>+F87</f>
        <v>222487.4000100001</v>
      </c>
      <c r="D88" s="18">
        <f>(37273000+22000000)/1000</f>
        <v>59273</v>
      </c>
      <c r="E88" s="18">
        <f>(0)/1000</f>
        <v>0</v>
      </c>
      <c r="F88" s="19">
        <f t="shared" si="12"/>
        <v>281760.4000100001</v>
      </c>
    </row>
    <row r="89" spans="1:6" s="2" customFormat="1" ht="19.5" customHeight="1" hidden="1" thickBot="1">
      <c r="A89" s="12"/>
      <c r="B89" s="17" t="s">
        <v>9</v>
      </c>
      <c r="C89" s="18">
        <f>+F88</f>
        <v>281760.4000100001</v>
      </c>
      <c r="D89" s="18">
        <f>(46600000)/1000</f>
        <v>46600</v>
      </c>
      <c r="E89" s="18">
        <f>(0)/1000</f>
        <v>0</v>
      </c>
      <c r="F89" s="19">
        <f t="shared" si="12"/>
        <v>328360.4000100001</v>
      </c>
    </row>
    <row r="90" spans="1:6" s="2" customFormat="1" ht="19.5" customHeight="1" hidden="1" thickBot="1" thickTop="1">
      <c r="A90" s="56">
        <v>2015</v>
      </c>
      <c r="B90" s="57"/>
      <c r="C90" s="22">
        <f>+C91</f>
        <v>328360.4000100001</v>
      </c>
      <c r="D90" s="23">
        <f>SUM(D91:D102)</f>
        <v>862903.3</v>
      </c>
      <c r="E90" s="23">
        <f>SUM(E91:E102)</f>
        <v>397360.4</v>
      </c>
      <c r="F90" s="24">
        <f>+F102</f>
        <v>793903.3000100001</v>
      </c>
    </row>
    <row r="91" spans="1:6" s="2" customFormat="1" ht="19.5" customHeight="1" hidden="1" thickTop="1">
      <c r="A91" s="33"/>
      <c r="B91" s="34" t="s">
        <v>10</v>
      </c>
      <c r="C91" s="26">
        <f>+F89</f>
        <v>328360.4000100001</v>
      </c>
      <c r="D91" s="26">
        <f>(43180000)/1000</f>
        <v>43180</v>
      </c>
      <c r="E91" s="26">
        <f>(0)/1000</f>
        <v>0</v>
      </c>
      <c r="F91" s="26">
        <f aca="true" t="shared" si="13" ref="F91:F96">+C91+D91-E91</f>
        <v>371540.4000100001</v>
      </c>
    </row>
    <row r="92" spans="1:6" s="2" customFormat="1" ht="19.5" customHeight="1" hidden="1">
      <c r="A92" s="12"/>
      <c r="B92" s="17" t="s">
        <v>11</v>
      </c>
      <c r="C92" s="18">
        <f aca="true" t="shared" si="14" ref="C92:C102">+F91</f>
        <v>371540.4000100001</v>
      </c>
      <c r="D92" s="18">
        <f>(38300000+39400000)/1000</f>
        <v>77700</v>
      </c>
      <c r="E92" s="18">
        <f>(0)/1000</f>
        <v>0</v>
      </c>
      <c r="F92" s="19">
        <f t="shared" si="13"/>
        <v>449240.4000100001</v>
      </c>
    </row>
    <row r="93" spans="1:6" s="2" customFormat="1" ht="19.5" customHeight="1" hidden="1">
      <c r="A93" s="12"/>
      <c r="B93" s="17" t="s">
        <v>12</v>
      </c>
      <c r="C93" s="18">
        <f t="shared" si="14"/>
        <v>449240.4000100001</v>
      </c>
      <c r="D93" s="18">
        <f>(35000000)/1000</f>
        <v>35000</v>
      </c>
      <c r="E93" s="18">
        <f>(0)/1000</f>
        <v>0</v>
      </c>
      <c r="F93" s="19">
        <f t="shared" si="13"/>
        <v>484240.4000100001</v>
      </c>
    </row>
    <row r="94" spans="1:6" s="2" customFormat="1" ht="19.5" customHeight="1" hidden="1">
      <c r="A94" s="12"/>
      <c r="B94" s="17" t="s">
        <v>13</v>
      </c>
      <c r="C94" s="18">
        <f t="shared" si="14"/>
        <v>484240.4000100001</v>
      </c>
      <c r="D94" s="18">
        <f>(36000000)/1000</f>
        <v>36000</v>
      </c>
      <c r="E94" s="18">
        <f>(0)/1000</f>
        <v>0</v>
      </c>
      <c r="F94" s="19">
        <f t="shared" si="13"/>
        <v>520240.4000100001</v>
      </c>
    </row>
    <row r="95" spans="1:6" s="2" customFormat="1" ht="19.5" customHeight="1" hidden="1">
      <c r="A95" s="12"/>
      <c r="B95" s="17" t="s">
        <v>14</v>
      </c>
      <c r="C95" s="18">
        <f t="shared" si="14"/>
        <v>520240.4000100001</v>
      </c>
      <c r="D95" s="18">
        <f>(0)/1000</f>
        <v>0</v>
      </c>
      <c r="E95" s="18">
        <f>(11000000)/1000</f>
        <v>11000</v>
      </c>
      <c r="F95" s="19">
        <f t="shared" si="13"/>
        <v>509240.4000100001</v>
      </c>
    </row>
    <row r="96" spans="1:6" s="2" customFormat="1" ht="19.5" customHeight="1" hidden="1">
      <c r="A96" s="12"/>
      <c r="B96" s="17" t="s">
        <v>3</v>
      </c>
      <c r="C96" s="18">
        <f t="shared" si="14"/>
        <v>509240.4000100001</v>
      </c>
      <c r="D96" s="18">
        <f>(37250000)/1000</f>
        <v>37250</v>
      </c>
      <c r="E96" s="18">
        <f>(30000000)/1000</f>
        <v>30000</v>
      </c>
      <c r="F96" s="19">
        <f t="shared" si="13"/>
        <v>516490.4000100001</v>
      </c>
    </row>
    <row r="97" spans="1:6" s="2" customFormat="1" ht="19.5" customHeight="1" hidden="1">
      <c r="A97" s="12"/>
      <c r="B97" s="17" t="s">
        <v>4</v>
      </c>
      <c r="C97" s="18">
        <f t="shared" si="14"/>
        <v>516490.4000100001</v>
      </c>
      <c r="D97" s="18">
        <f>(33200000+33120000+35000000+40000000)/1000</f>
        <v>141320</v>
      </c>
      <c r="E97" s="18">
        <f>(50300000)/1000</f>
        <v>50300</v>
      </c>
      <c r="F97" s="19">
        <f aca="true" t="shared" si="15" ref="F97:F102">+C97+D97-E97</f>
        <v>607510.4000100001</v>
      </c>
    </row>
    <row r="98" spans="1:6" s="2" customFormat="1" ht="19.5" customHeight="1" hidden="1">
      <c r="A98" s="12"/>
      <c r="B98" s="17" t="s">
        <v>5</v>
      </c>
      <c r="C98" s="18">
        <f t="shared" si="14"/>
        <v>607510.4000100001</v>
      </c>
      <c r="D98" s="18">
        <f>(34000000+29500000)/1000</f>
        <v>63500</v>
      </c>
      <c r="E98" s="18">
        <f>(24847400+36725000)/1000</f>
        <v>61572.4</v>
      </c>
      <c r="F98" s="19">
        <f t="shared" si="15"/>
        <v>609438.0000100001</v>
      </c>
    </row>
    <row r="99" spans="1:6" s="2" customFormat="1" ht="19.5" customHeight="1" hidden="1">
      <c r="A99" s="12"/>
      <c r="B99" s="17" t="s">
        <v>6</v>
      </c>
      <c r="C99" s="18">
        <f t="shared" si="14"/>
        <v>609438.0000100001</v>
      </c>
      <c r="D99" s="18">
        <f>(25500000+88000000+12800000+25000000)/1000</f>
        <v>151300</v>
      </c>
      <c r="E99" s="18">
        <f>(88215000)/1000</f>
        <v>88215</v>
      </c>
      <c r="F99" s="19">
        <f t="shared" si="15"/>
        <v>672523.0000100001</v>
      </c>
    </row>
    <row r="100" spans="1:6" s="2" customFormat="1" ht="19.5" customHeight="1" hidden="1">
      <c r="A100" s="12"/>
      <c r="B100" s="17" t="s">
        <v>7</v>
      </c>
      <c r="C100" s="18">
        <f t="shared" si="14"/>
        <v>672523.0000100001</v>
      </c>
      <c r="D100" s="18">
        <f>(18600000+16000000+4500000+1000000)/1000</f>
        <v>40100</v>
      </c>
      <c r="E100" s="18">
        <f>(5000000+30400000)/1000</f>
        <v>35400</v>
      </c>
      <c r="F100" s="19">
        <f t="shared" si="15"/>
        <v>677223.0000100001</v>
      </c>
    </row>
    <row r="101" spans="1:6" s="2" customFormat="1" ht="19.5" customHeight="1" hidden="1">
      <c r="A101" s="12"/>
      <c r="B101" s="17" t="s">
        <v>8</v>
      </c>
      <c r="C101" s="18">
        <f t="shared" si="14"/>
        <v>677223.0000100001</v>
      </c>
      <c r="D101" s="18">
        <f>(35170300+12383000+6000000+42200000)/1000</f>
        <v>95753.3</v>
      </c>
      <c r="E101" s="18">
        <f>(40273000+20000000)/1000</f>
        <v>60273</v>
      </c>
      <c r="F101" s="19">
        <f t="shared" si="15"/>
        <v>712703.3000100001</v>
      </c>
    </row>
    <row r="102" spans="1:6" s="2" customFormat="1" ht="19.5" customHeight="1" hidden="1" thickBot="1">
      <c r="A102" s="29"/>
      <c r="B102" s="30" t="s">
        <v>9</v>
      </c>
      <c r="C102" s="31">
        <f t="shared" si="14"/>
        <v>712703.3000100001</v>
      </c>
      <c r="D102" s="31">
        <f>(1400000+68550000+51850000+20000000)/1000</f>
        <v>141800</v>
      </c>
      <c r="E102" s="31">
        <f>(12000000+26600000+22000000)/1000</f>
        <v>60600</v>
      </c>
      <c r="F102" s="32">
        <f t="shared" si="15"/>
        <v>793903.3000100001</v>
      </c>
    </row>
    <row r="103" spans="1:6" s="2" customFormat="1" ht="19.5" customHeight="1" thickBot="1" thickTop="1">
      <c r="A103" s="56">
        <v>2016</v>
      </c>
      <c r="B103" s="58"/>
      <c r="C103" s="22">
        <f>+C104</f>
        <v>793903.3000100001</v>
      </c>
      <c r="D103" s="23">
        <f>SUM(D104:D115)</f>
        <v>1305836.4</v>
      </c>
      <c r="E103" s="23">
        <f>SUM(E104:E115)</f>
        <v>1027183.2000000001</v>
      </c>
      <c r="F103" s="24">
        <f>+F115</f>
        <v>1072556.50001</v>
      </c>
    </row>
    <row r="104" spans="1:6" s="2" customFormat="1" ht="19.5" customHeight="1" thickTop="1">
      <c r="A104" s="33"/>
      <c r="B104" s="34" t="s">
        <v>10</v>
      </c>
      <c r="C104" s="26">
        <f>+F102</f>
        <v>793903.3000100001</v>
      </c>
      <c r="D104" s="26">
        <f>(47440000+77215900+22551200)/1000</f>
        <v>147207.1</v>
      </c>
      <c r="E104" s="26">
        <f>(34480000+17000000)/1000</f>
        <v>51480</v>
      </c>
      <c r="F104" s="26">
        <f aca="true" t="shared" si="16" ref="F104:F111">+C104+D104-E104</f>
        <v>889630.4000100001</v>
      </c>
    </row>
    <row r="105" spans="1:6" s="2" customFormat="1" ht="19.5" customHeight="1">
      <c r="A105" s="12"/>
      <c r="B105" s="17" t="s">
        <v>11</v>
      </c>
      <c r="C105" s="18">
        <f aca="true" t="shared" si="17" ref="C105:C112">+F104</f>
        <v>889630.4000100001</v>
      </c>
      <c r="D105" s="18">
        <f>(9300000+20337500+10232000+18212800)/1000</f>
        <v>58082.3</v>
      </c>
      <c r="E105" s="18">
        <f>(44400000)/1000</f>
        <v>44400</v>
      </c>
      <c r="F105" s="19">
        <f t="shared" si="16"/>
        <v>903312.7000100001</v>
      </c>
    </row>
    <row r="106" spans="1:6" s="2" customFormat="1" ht="19.5" customHeight="1">
      <c r="A106" s="12"/>
      <c r="B106" s="17" t="s">
        <v>12</v>
      </c>
      <c r="C106" s="18">
        <f t="shared" si="17"/>
        <v>903312.7000100001</v>
      </c>
      <c r="D106" s="18">
        <f>(14250000+23000000+6700000+43535000)/1000</f>
        <v>87485</v>
      </c>
      <c r="E106" s="18">
        <f>(29000000+25000000)/1000</f>
        <v>54000</v>
      </c>
      <c r="F106" s="19">
        <f t="shared" si="16"/>
        <v>936797.7000100001</v>
      </c>
    </row>
    <row r="107" spans="1:6" s="2" customFormat="1" ht="19.5" customHeight="1">
      <c r="A107" s="12"/>
      <c r="B107" s="17" t="s">
        <v>13</v>
      </c>
      <c r="C107" s="18">
        <f t="shared" si="17"/>
        <v>936797.7000100001</v>
      </c>
      <c r="D107" s="18">
        <f>(53231000+10585000+18090000+6500000)/1000</f>
        <v>88406</v>
      </c>
      <c r="E107" s="18">
        <f>(20000000+5000000+20000000+49250000)/1000</f>
        <v>94250</v>
      </c>
      <c r="F107" s="19">
        <f t="shared" si="16"/>
        <v>930953.7000100001</v>
      </c>
    </row>
    <row r="108" spans="1:6" s="2" customFormat="1" ht="19.5" customHeight="1">
      <c r="A108" s="12"/>
      <c r="B108" s="17" t="s">
        <v>14</v>
      </c>
      <c r="C108" s="18">
        <f t="shared" si="17"/>
        <v>930953.7000100001</v>
      </c>
      <c r="D108" s="18">
        <f>(3000000+2220000+16525000+12050000)/1000</f>
        <v>33795</v>
      </c>
      <c r="E108" s="18">
        <f>(13000000+25750000+52200000)/1000</f>
        <v>90950</v>
      </c>
      <c r="F108" s="19">
        <f t="shared" si="16"/>
        <v>873798.7000100001</v>
      </c>
    </row>
    <row r="109" spans="1:6" s="2" customFormat="1" ht="19.5" customHeight="1">
      <c r="A109" s="12"/>
      <c r="B109" s="17" t="s">
        <v>3</v>
      </c>
      <c r="C109" s="18">
        <f t="shared" si="17"/>
        <v>873798.7000100001</v>
      </c>
      <c r="D109" s="18">
        <f>(41363000+12240000+6100000+19000000+6750000)/1000</f>
        <v>85453</v>
      </c>
      <c r="E109" s="18">
        <f>(36050000+7600000+27000000+54060900)/1000</f>
        <v>124710.9</v>
      </c>
      <c r="F109" s="19">
        <f t="shared" si="16"/>
        <v>834540.8000100001</v>
      </c>
    </row>
    <row r="110" spans="1:6" s="2" customFormat="1" ht="19.5" customHeight="1">
      <c r="A110" s="12"/>
      <c r="B110" s="17" t="s">
        <v>4</v>
      </c>
      <c r="C110" s="18">
        <f t="shared" si="17"/>
        <v>834540.8000100001</v>
      </c>
      <c r="D110" s="18">
        <f>(61757800+56823000+17000000+78212000)/1000</f>
        <v>213792.8</v>
      </c>
      <c r="E110" s="18">
        <f>(56120000+30000000+32300000)/1000</f>
        <v>118420</v>
      </c>
      <c r="F110" s="19">
        <f t="shared" si="16"/>
        <v>929913.6000100002</v>
      </c>
    </row>
    <row r="111" spans="1:6" s="2" customFormat="1" ht="19.5" customHeight="1">
      <c r="A111" s="12"/>
      <c r="B111" s="17" t="s">
        <v>5</v>
      </c>
      <c r="C111" s="18">
        <f t="shared" si="17"/>
        <v>929913.6000100002</v>
      </c>
      <c r="D111" s="18">
        <f>(52100000+11700000+66050000+21106800)/1000</f>
        <v>150956.8</v>
      </c>
      <c r="E111" s="18">
        <f>(36500000+33300000)/1000</f>
        <v>69800</v>
      </c>
      <c r="F111" s="19">
        <f t="shared" si="16"/>
        <v>1011070.4000100002</v>
      </c>
    </row>
    <row r="112" spans="1:6" s="2" customFormat="1" ht="19.5" customHeight="1">
      <c r="A112" s="12"/>
      <c r="B112" s="17" t="s">
        <v>6</v>
      </c>
      <c r="C112" s="18">
        <f t="shared" si="17"/>
        <v>1011070.4000100002</v>
      </c>
      <c r="D112" s="18">
        <f>(3700000+88000000+25991200)/1000</f>
        <v>117691.2</v>
      </c>
      <c r="E112" s="18">
        <f>(88000000)/1000</f>
        <v>88000</v>
      </c>
      <c r="F112" s="19">
        <f>+C112+D112-E112</f>
        <v>1040761.6000100002</v>
      </c>
    </row>
    <row r="113" spans="1:6" s="2" customFormat="1" ht="19.5" customHeight="1">
      <c r="A113" s="12"/>
      <c r="B113" s="17" t="s">
        <v>7</v>
      </c>
      <c r="C113" s="18">
        <f>+F112</f>
        <v>1040761.6000100002</v>
      </c>
      <c r="D113" s="18">
        <f>(26750000+14750000+11150000)/1000</f>
        <v>52650</v>
      </c>
      <c r="E113" s="18">
        <f>(59600000+6000000+20000000)/1000</f>
        <v>85600</v>
      </c>
      <c r="F113" s="19">
        <f>+C113+D113-E113</f>
        <v>1007811.6000100002</v>
      </c>
    </row>
    <row r="114" spans="1:6" s="2" customFormat="1" ht="19.5" customHeight="1">
      <c r="A114" s="12"/>
      <c r="B114" s="17" t="s">
        <v>8</v>
      </c>
      <c r="C114" s="18">
        <f>+F113</f>
        <v>1007811.6000100002</v>
      </c>
      <c r="D114" s="18">
        <f>(42017200+3900000+12400000+11000000+1000000)/1000</f>
        <v>70317.2</v>
      </c>
      <c r="E114" s="18">
        <f>(55553300+2300000+3000000+12050000)/1000</f>
        <v>72903.3</v>
      </c>
      <c r="F114" s="19">
        <f>+C114+D114-E114</f>
        <v>1005225.5000100001</v>
      </c>
    </row>
    <row r="115" spans="1:6" s="2" customFormat="1" ht="19.5" customHeight="1" thickBot="1">
      <c r="A115" s="12"/>
      <c r="B115" s="17" t="s">
        <v>9</v>
      </c>
      <c r="C115" s="18">
        <f>+F114</f>
        <v>1005225.5000100001</v>
      </c>
      <c r="D115" s="18">
        <f>(100000000+100000000)/1000</f>
        <v>200000</v>
      </c>
      <c r="E115" s="18">
        <f>(30100000+53757800+12000000+26811200+10000000)/1000</f>
        <v>132669</v>
      </c>
      <c r="F115" s="19">
        <f>+C115+D115-E115</f>
        <v>1072556.50001</v>
      </c>
    </row>
    <row r="116" spans="1:6" s="2" customFormat="1" ht="19.5" customHeight="1" thickBot="1" thickTop="1">
      <c r="A116" s="56">
        <v>2017</v>
      </c>
      <c r="B116" s="57"/>
      <c r="C116" s="22">
        <f>+C117</f>
        <v>1072556.50001</v>
      </c>
      <c r="D116" s="23">
        <f>SUM(D117:D128)</f>
        <v>778549.9</v>
      </c>
      <c r="E116" s="23">
        <f>SUM(E117:E128)</f>
        <v>1105275.2</v>
      </c>
      <c r="F116" s="24">
        <f>+F128</f>
        <v>745831.2000100001</v>
      </c>
    </row>
    <row r="117" spans="1:6" s="2" customFormat="1" ht="19.5" customHeight="1" thickTop="1">
      <c r="A117" s="33"/>
      <c r="B117" s="34" t="s">
        <v>10</v>
      </c>
      <c r="C117" s="26">
        <f>+F115</f>
        <v>1072556.50001</v>
      </c>
      <c r="D117" s="26">
        <f>(35950000+8000000+29018700)/1000</f>
        <v>72968.7</v>
      </c>
      <c r="E117" s="26">
        <f>(62435000+22890900)/1000</f>
        <v>85325.9</v>
      </c>
      <c r="F117" s="26">
        <f aca="true" t="shared" si="18" ref="F117:F123">+C117+D117-E117</f>
        <v>1060199.3000100001</v>
      </c>
    </row>
    <row r="118" spans="1:6" s="2" customFormat="1" ht="19.5" customHeight="1">
      <c r="A118" s="12"/>
      <c r="B118" s="17" t="s">
        <v>11</v>
      </c>
      <c r="C118" s="18">
        <f aca="true" t="shared" si="19" ref="C118:C128">+F117</f>
        <v>1060199.3000100001</v>
      </c>
      <c r="D118" s="18">
        <f>(44260000+7150000)/1000</f>
        <v>51410</v>
      </c>
      <c r="E118" s="18">
        <f>(62232300+11800000)/1000</f>
        <v>74032.3</v>
      </c>
      <c r="F118" s="19">
        <f t="shared" si="18"/>
        <v>1037577.0000100001</v>
      </c>
    </row>
    <row r="119" spans="1:6" s="2" customFormat="1" ht="19.5" customHeight="1">
      <c r="A119" s="12"/>
      <c r="B119" s="17" t="s">
        <v>12</v>
      </c>
      <c r="C119" s="18">
        <f t="shared" si="19"/>
        <v>1037577.0000100001</v>
      </c>
      <c r="D119" s="18">
        <f>(0)/1000</f>
        <v>0</v>
      </c>
      <c r="E119" s="18">
        <f>(32935000+310615300-32935000)/1000</f>
        <v>310615.3</v>
      </c>
      <c r="F119" s="19">
        <f t="shared" si="18"/>
        <v>726961.70001</v>
      </c>
    </row>
    <row r="120" spans="1:6" s="2" customFormat="1" ht="19.5" customHeight="1">
      <c r="A120" s="12"/>
      <c r="B120" s="17" t="s">
        <v>13</v>
      </c>
      <c r="C120" s="18">
        <f t="shared" si="19"/>
        <v>726961.70001</v>
      </c>
      <c r="D120" s="18">
        <f>(34100000)/1000</f>
        <v>34100</v>
      </c>
      <c r="E120" s="18">
        <f>(0)/1000</f>
        <v>0</v>
      </c>
      <c r="F120" s="19">
        <f t="shared" si="18"/>
        <v>761061.70001</v>
      </c>
    </row>
    <row r="121" spans="1:6" s="2" customFormat="1" ht="19.5" customHeight="1">
      <c r="A121" s="12"/>
      <c r="B121" s="17" t="s">
        <v>14</v>
      </c>
      <c r="C121" s="18">
        <f t="shared" si="19"/>
        <v>761061.70001</v>
      </c>
      <c r="D121" s="18">
        <f>(0)/1000</f>
        <v>0</v>
      </c>
      <c r="E121" s="18">
        <f>(2000000)/1000</f>
        <v>2000</v>
      </c>
      <c r="F121" s="19">
        <f t="shared" si="18"/>
        <v>759061.70001</v>
      </c>
    </row>
    <row r="122" spans="1:6" s="2" customFormat="1" ht="19.5" customHeight="1">
      <c r="A122" s="12"/>
      <c r="B122" s="17" t="s">
        <v>3</v>
      </c>
      <c r="C122" s="18">
        <f t="shared" si="19"/>
        <v>759061.70001</v>
      </c>
      <c r="D122" s="18">
        <f>(2550000+1500000)/1000</f>
        <v>4050</v>
      </c>
      <c r="E122" s="18">
        <f>(50000000)/1000</f>
        <v>50000</v>
      </c>
      <c r="F122" s="19">
        <f>+C122+D122-E122</f>
        <v>713111.70001</v>
      </c>
    </row>
    <row r="123" spans="1:6" s="2" customFormat="1" ht="19.5" customHeight="1">
      <c r="A123" s="12"/>
      <c r="B123" s="17" t="s">
        <v>4</v>
      </c>
      <c r="C123" s="18">
        <f t="shared" si="19"/>
        <v>713111.70001</v>
      </c>
      <c r="D123" s="18">
        <f>(15317900+47100000+26900000+337200+8050000+22622900)/1000</f>
        <v>120328</v>
      </c>
      <c r="E123" s="18">
        <f>(48485800+31100000+22518700)/1000</f>
        <v>102104.5</v>
      </c>
      <c r="F123" s="19">
        <f t="shared" si="18"/>
        <v>731335.20001</v>
      </c>
    </row>
    <row r="124" spans="1:6" s="2" customFormat="1" ht="19.5" customHeight="1">
      <c r="A124" s="12"/>
      <c r="B124" s="17" t="s">
        <v>5</v>
      </c>
      <c r="C124" s="18">
        <f t="shared" si="19"/>
        <v>731335.20001</v>
      </c>
      <c r="D124" s="18">
        <f>(50700000+12850000+5050000+24068000)/1000</f>
        <v>92668</v>
      </c>
      <c r="E124" s="18">
        <f>(98950000+31480000)/1000</f>
        <v>130430</v>
      </c>
      <c r="F124" s="19">
        <f>+C124+D124-E124</f>
        <v>693573.20001</v>
      </c>
    </row>
    <row r="125" spans="1:6" s="2" customFormat="1" ht="19.5" customHeight="1">
      <c r="A125" s="12"/>
      <c r="B125" s="17" t="s">
        <v>6</v>
      </c>
      <c r="C125" s="18">
        <f t="shared" si="19"/>
        <v>693573.20001</v>
      </c>
      <c r="D125" s="18">
        <f>(23464000+88000000+5404000+565000)/1000</f>
        <v>117433</v>
      </c>
      <c r="E125" s="18">
        <f>(24000000+50000000+88000000)/1000</f>
        <v>162000</v>
      </c>
      <c r="F125" s="19">
        <f>+C125+D125-E125</f>
        <v>649006.20001</v>
      </c>
    </row>
    <row r="126" spans="1:6" s="2" customFormat="1" ht="19.5" customHeight="1">
      <c r="A126" s="12"/>
      <c r="B126" s="17" t="s">
        <v>7</v>
      </c>
      <c r="C126" s="18">
        <f t="shared" si="19"/>
        <v>649006.20001</v>
      </c>
      <c r="D126" s="18">
        <f>(27775000+32000000+11230000+6338000+8482000)/1000</f>
        <v>85825</v>
      </c>
      <c r="E126" s="18">
        <f>(35550000)/1000</f>
        <v>35550</v>
      </c>
      <c r="F126" s="19">
        <f>+C126+D126-E126</f>
        <v>699281.20001</v>
      </c>
    </row>
    <row r="127" spans="1:6" s="2" customFormat="1" ht="19.5" customHeight="1">
      <c r="A127" s="12"/>
      <c r="B127" s="17" t="s">
        <v>8</v>
      </c>
      <c r="C127" s="18">
        <f t="shared" si="19"/>
        <v>699281.20001</v>
      </c>
      <c r="D127" s="18">
        <f>(45655800+4874000+15928500)/1000</f>
        <v>66458.3</v>
      </c>
      <c r="E127" s="18">
        <f>(43017200+10200000)/1000</f>
        <v>53217.2</v>
      </c>
      <c r="F127" s="19">
        <f>+C127+D127-E127</f>
        <v>712522.3000100001</v>
      </c>
    </row>
    <row r="128" spans="1:6" s="2" customFormat="1" ht="19.5" customHeight="1" thickBot="1">
      <c r="A128" s="12"/>
      <c r="B128" s="17" t="s">
        <v>9</v>
      </c>
      <c r="C128" s="18">
        <f t="shared" si="19"/>
        <v>712522.3000100001</v>
      </c>
      <c r="D128" s="18">
        <f>(66736900+23737000+42835000)/1000</f>
        <v>133308.9</v>
      </c>
      <c r="E128" s="18">
        <f>(100000000)/1000</f>
        <v>100000</v>
      </c>
      <c r="F128" s="19">
        <f>+C128+D128-E128</f>
        <v>745831.2000100001</v>
      </c>
    </row>
    <row r="129" spans="1:6" s="2" customFormat="1" ht="19.5" customHeight="1" thickBot="1" thickTop="1">
      <c r="A129" s="56">
        <v>2018</v>
      </c>
      <c r="B129" s="57"/>
      <c r="C129" s="22">
        <f>+C130</f>
        <v>745831.2000100001</v>
      </c>
      <c r="D129" s="23">
        <f>SUM(D130:D141)</f>
        <v>883788.8999999999</v>
      </c>
      <c r="E129" s="23">
        <f>SUM(E130:E141)</f>
        <v>813020.7000000001</v>
      </c>
      <c r="F129" s="24">
        <f>+F141</f>
        <v>816599.40001</v>
      </c>
    </row>
    <row r="130" spans="1:6" s="2" customFormat="1" ht="19.5" customHeight="1" thickTop="1">
      <c r="A130" s="33"/>
      <c r="B130" s="34" t="s">
        <v>10</v>
      </c>
      <c r="C130" s="26">
        <f>+F128</f>
        <v>745831.2000100001</v>
      </c>
      <c r="D130" s="26">
        <f>(19644000+42149000)/1000</f>
        <v>61793</v>
      </c>
      <c r="E130" s="26">
        <f>(59325000+22622900)/1000</f>
        <v>81947.9</v>
      </c>
      <c r="F130" s="26">
        <f>+C130+D130-E130</f>
        <v>725676.3000100001</v>
      </c>
    </row>
    <row r="131" spans="1:6" s="2" customFormat="1" ht="19.5" customHeight="1">
      <c r="A131" s="12"/>
      <c r="B131" s="17" t="s">
        <v>11</v>
      </c>
      <c r="C131" s="18">
        <f aca="true" t="shared" si="20" ref="C131:C141">+F130</f>
        <v>725676.3000100001</v>
      </c>
      <c r="D131" s="18">
        <f>(78615000+36017000+1500000+0+40000000)/1000</f>
        <v>156132</v>
      </c>
      <c r="E131" s="18">
        <f>(25685000+13000000+6650000)/1000</f>
        <v>45335</v>
      </c>
      <c r="F131" s="19">
        <f>+C131+D131-E131</f>
        <v>836473.3000100001</v>
      </c>
    </row>
    <row r="132" spans="1:6" s="2" customFormat="1" ht="19.5" customHeight="1">
      <c r="A132" s="12"/>
      <c r="B132" s="17" t="s">
        <v>25</v>
      </c>
      <c r="C132" s="18">
        <f t="shared" si="20"/>
        <v>836473.3000100001</v>
      </c>
      <c r="D132" s="18">
        <f>(26000000+38588000)/1000</f>
        <v>64588</v>
      </c>
      <c r="E132" s="18">
        <f>(0)/1000</f>
        <v>0</v>
      </c>
      <c r="F132" s="19">
        <f>+C132+D132-E132</f>
        <v>901061.3000100001</v>
      </c>
    </row>
    <row r="133" spans="1:6" s="2" customFormat="1" ht="19.5" customHeight="1">
      <c r="A133" s="12"/>
      <c r="B133" s="17" t="s">
        <v>13</v>
      </c>
      <c r="C133" s="18">
        <f t="shared" si="20"/>
        <v>901061.3000100001</v>
      </c>
      <c r="D133" s="18">
        <f>(0)/1000</f>
        <v>0</v>
      </c>
      <c r="E133" s="18">
        <f>(11100000+34100000)/1000</f>
        <v>45200</v>
      </c>
      <c r="F133" s="19">
        <f>+C133+D133-E133</f>
        <v>855861.3000100001</v>
      </c>
    </row>
    <row r="134" spans="1:6" s="2" customFormat="1" ht="19.5" customHeight="1">
      <c r="A134" s="12"/>
      <c r="B134" s="17" t="s">
        <v>14</v>
      </c>
      <c r="C134" s="18">
        <f t="shared" si="20"/>
        <v>855861.3000100001</v>
      </c>
      <c r="D134" s="18">
        <f>(25910000)/1000</f>
        <v>25910</v>
      </c>
      <c r="E134" s="18">
        <f>(36327200+5000000+2550000+30050000)/1000</f>
        <v>73927.2</v>
      </c>
      <c r="F134" s="19">
        <f>+C134+D134-E134</f>
        <v>807844.1000100002</v>
      </c>
    </row>
    <row r="135" spans="1:6" s="2" customFormat="1" ht="19.5" customHeight="1">
      <c r="A135" s="12"/>
      <c r="B135" s="17" t="s">
        <v>3</v>
      </c>
      <c r="C135" s="18">
        <f t="shared" si="20"/>
        <v>807844.1000100002</v>
      </c>
      <c r="D135" s="18">
        <f>(39581000+37648000)/1000</f>
        <v>77229</v>
      </c>
      <c r="E135" s="18">
        <f>(22550000+1500000)/1000</f>
        <v>24050</v>
      </c>
      <c r="F135" s="19">
        <f aca="true" t="shared" si="21" ref="F135:F141">+C135+D135-E135</f>
        <v>861023.1000100002</v>
      </c>
    </row>
    <row r="136" spans="1:6" s="2" customFormat="1" ht="19.5" customHeight="1">
      <c r="A136" s="12"/>
      <c r="B136" s="17" t="s">
        <v>4</v>
      </c>
      <c r="C136" s="18">
        <f t="shared" si="20"/>
        <v>861023.1000100002</v>
      </c>
      <c r="D136" s="18">
        <f>(20496500+9495000+20795000+19900000)/1000</f>
        <v>70686.5</v>
      </c>
      <c r="E136" s="18">
        <f>(22800000+4654000+50427900+15110000+21885000)/1000</f>
        <v>114876.9</v>
      </c>
      <c r="F136" s="19">
        <f t="shared" si="21"/>
        <v>816832.7000100001</v>
      </c>
    </row>
    <row r="137" spans="1:6" s="2" customFormat="1" ht="19.5" customHeight="1">
      <c r="A137" s="12"/>
      <c r="B137" s="17" t="s">
        <v>5</v>
      </c>
      <c r="C137" s="18">
        <f t="shared" si="20"/>
        <v>816832.7000100001</v>
      </c>
      <c r="D137" s="18">
        <f>(17262000+2557200+16575000)/1000</f>
        <v>36394.2</v>
      </c>
      <c r="E137" s="18">
        <f>(11414000+39718000)/1000</f>
        <v>51132</v>
      </c>
      <c r="F137" s="19">
        <f t="shared" si="21"/>
        <v>802094.9000100001</v>
      </c>
    </row>
    <row r="138" spans="1:6" s="2" customFormat="1" ht="19.5" customHeight="1">
      <c r="A138" s="12"/>
      <c r="B138" s="17" t="s">
        <v>6</v>
      </c>
      <c r="C138" s="18">
        <f t="shared" si="20"/>
        <v>802094.9000100001</v>
      </c>
      <c r="D138" s="18">
        <f>(80606000+17105000+12900000+6700000)/1000</f>
        <v>117311</v>
      </c>
      <c r="E138" s="18">
        <f>(88000000+9350000+10475000)/1000</f>
        <v>107825</v>
      </c>
      <c r="F138" s="19">
        <f t="shared" si="21"/>
        <v>811580.9000100001</v>
      </c>
    </row>
    <row r="139" spans="1:6" s="2" customFormat="1" ht="19.5" customHeight="1">
      <c r="A139" s="12"/>
      <c r="B139" s="17" t="s">
        <v>7</v>
      </c>
      <c r="C139" s="18">
        <f t="shared" si="20"/>
        <v>811580.9000100001</v>
      </c>
      <c r="D139" s="18">
        <f>(51585000+1372000+6000000)/1000</f>
        <v>58957</v>
      </c>
      <c r="E139" s="18">
        <f>(49685000+25200000)/1000</f>
        <v>74885</v>
      </c>
      <c r="F139" s="19">
        <f t="shared" si="21"/>
        <v>795652.9000100001</v>
      </c>
    </row>
    <row r="140" spans="1:6" s="2" customFormat="1" ht="19.5" customHeight="1">
      <c r="A140" s="12"/>
      <c r="B140" s="17" t="s">
        <v>8</v>
      </c>
      <c r="C140" s="18">
        <f t="shared" si="20"/>
        <v>795652.9000100001</v>
      </c>
      <c r="D140" s="18">
        <f>(33057100+9083000+0+3693000)/1000</f>
        <v>45833.1</v>
      </c>
      <c r="E140" s="18">
        <f>(58278300+1500000+3250000)/1000</f>
        <v>63028.3</v>
      </c>
      <c r="F140" s="19">
        <f t="shared" si="21"/>
        <v>778457.70001</v>
      </c>
    </row>
    <row r="141" spans="1:6" s="2" customFormat="1" ht="19.5" customHeight="1" thickBot="1">
      <c r="A141" s="12"/>
      <c r="B141" s="17" t="s">
        <v>9</v>
      </c>
      <c r="C141" s="18">
        <f t="shared" si="20"/>
        <v>778457.70001</v>
      </c>
      <c r="D141" s="18">
        <f>(82168100+27087000+59700000)/1000</f>
        <v>168955.1</v>
      </c>
      <c r="E141" s="18">
        <f>(19096500+66736900+24437000+20543000)/1000</f>
        <v>130813.4</v>
      </c>
      <c r="F141" s="19">
        <f t="shared" si="21"/>
        <v>816599.40001</v>
      </c>
    </row>
    <row r="142" spans="1:6" s="2" customFormat="1" ht="19.5" customHeight="1" thickBot="1" thickTop="1">
      <c r="A142" s="56">
        <v>2019</v>
      </c>
      <c r="B142" s="57"/>
      <c r="C142" s="22">
        <f>+C143</f>
        <v>816599.40001</v>
      </c>
      <c r="D142" s="23">
        <f>SUM(D143:D154)</f>
        <v>1070985.7000700003</v>
      </c>
      <c r="E142" s="23">
        <f>SUM(E143:E154)</f>
        <v>896252.4</v>
      </c>
      <c r="F142" s="24">
        <f>+F154</f>
        <v>991332.70008</v>
      </c>
    </row>
    <row r="143" spans="1:6" s="2" customFormat="1" ht="19.5" customHeight="1" thickTop="1">
      <c r="A143" s="33"/>
      <c r="B143" s="34" t="s">
        <v>10</v>
      </c>
      <c r="C143" s="26">
        <f>+F141</f>
        <v>816599.40001</v>
      </c>
      <c r="D143" s="26">
        <f>(43844000+65892000+23267000)/1000</f>
        <v>133003</v>
      </c>
      <c r="E143" s="26">
        <f>(97065000)/1000</f>
        <v>97065</v>
      </c>
      <c r="F143" s="26">
        <f>+C143+D143-E143</f>
        <v>852537.40001</v>
      </c>
    </row>
    <row r="144" spans="1:6" s="2" customFormat="1" ht="19.5" customHeight="1">
      <c r="A144" s="12"/>
      <c r="B144" s="17" t="s">
        <v>11</v>
      </c>
      <c r="C144" s="18">
        <f aca="true" t="shared" si="22" ref="C144:C154">+F143</f>
        <v>852537.40001</v>
      </c>
      <c r="D144" s="18">
        <f>(43919000+23675000+41180000+19615000)/1000</f>
        <v>128389</v>
      </c>
      <c r="E144" s="18">
        <f>(76017000)/1000</f>
        <v>76017</v>
      </c>
      <c r="F144" s="19">
        <f>+C144+D144-E144</f>
        <v>904909.40001</v>
      </c>
    </row>
    <row r="145" spans="1:6" s="2" customFormat="1" ht="19.5" customHeight="1">
      <c r="A145" s="12"/>
      <c r="B145" s="17" t="s">
        <v>12</v>
      </c>
      <c r="C145" s="18">
        <f t="shared" si="22"/>
        <v>904909.40001</v>
      </c>
      <c r="D145" s="18">
        <f>(68100900)/1000</f>
        <v>68100.9</v>
      </c>
      <c r="E145" s="18">
        <f>(61338000)/1000</f>
        <v>61338</v>
      </c>
      <c r="F145" s="19">
        <f>+C145+D145-E145</f>
        <v>911672.30001</v>
      </c>
    </row>
    <row r="146" spans="1:6" s="2" customFormat="1" ht="19.5" customHeight="1">
      <c r="A146" s="12"/>
      <c r="B146" s="17" t="s">
        <v>13</v>
      </c>
      <c r="C146" s="18">
        <f t="shared" si="22"/>
        <v>911672.30001</v>
      </c>
      <c r="D146" s="18">
        <f>(0)/1000</f>
        <v>0</v>
      </c>
      <c r="E146" s="18">
        <f>(750000+100000+200000+28350000+1100000)/1000</f>
        <v>30500</v>
      </c>
      <c r="F146" s="19">
        <f>+C146+D146-E146</f>
        <v>881172.30001</v>
      </c>
    </row>
    <row r="147" spans="1:6" s="2" customFormat="1" ht="19.5" customHeight="1">
      <c r="A147" s="12"/>
      <c r="B147" s="17" t="s">
        <v>14</v>
      </c>
      <c r="C147" s="18">
        <f t="shared" si="22"/>
        <v>881172.30001</v>
      </c>
      <c r="D147" s="18">
        <f>(0)/1000</f>
        <v>0</v>
      </c>
      <c r="E147" s="18">
        <f>(25100000+23618000+64391000)/1000</f>
        <v>113109</v>
      </c>
      <c r="F147" s="19">
        <f>+C147+D147-E147</f>
        <v>768063.30001</v>
      </c>
    </row>
    <row r="148" spans="1:6" s="2" customFormat="1" ht="19.5" customHeight="1">
      <c r="A148" s="12"/>
      <c r="B148" s="17" t="s">
        <v>3</v>
      </c>
      <c r="C148" s="18">
        <f t="shared" si="22"/>
        <v>768063.30001</v>
      </c>
      <c r="D148" s="18">
        <f>(51151000+69528200+56012800)/1000</f>
        <v>176692</v>
      </c>
      <c r="E148" s="18">
        <f>(15617800+10500000+27685000+37648000)/1000</f>
        <v>91450.8</v>
      </c>
      <c r="F148" s="19">
        <f aca="true" t="shared" si="23" ref="F148:F154">+C148+D148-E148</f>
        <v>853304.50001</v>
      </c>
    </row>
    <row r="149" spans="1:6" s="2" customFormat="1" ht="19.5" customHeight="1">
      <c r="A149" s="12"/>
      <c r="B149" s="17" t="s">
        <v>4</v>
      </c>
      <c r="C149" s="18">
        <f t="shared" si="22"/>
        <v>853304.50001</v>
      </c>
      <c r="D149" s="18">
        <f>(46055000+46343700.02+26440400)/1000</f>
        <v>118839.10002000001</v>
      </c>
      <c r="E149" s="18">
        <f>(45490000+33237000)/1000</f>
        <v>78727</v>
      </c>
      <c r="F149" s="19">
        <f t="shared" si="23"/>
        <v>893416.60003</v>
      </c>
    </row>
    <row r="150" spans="1:6" s="2" customFormat="1" ht="19.5" customHeight="1">
      <c r="A150" s="12"/>
      <c r="B150" s="17" t="s">
        <v>5</v>
      </c>
      <c r="C150" s="18">
        <f t="shared" si="22"/>
        <v>893416.60003</v>
      </c>
      <c r="D150" s="18">
        <f>(67775000+68319700)/1000</f>
        <v>136094.7</v>
      </c>
      <c r="E150" s="18">
        <f>(35105000+9057200)/1000</f>
        <v>44162.2</v>
      </c>
      <c r="F150" s="19">
        <f t="shared" si="23"/>
        <v>985349.1000300001</v>
      </c>
    </row>
    <row r="151" spans="1:6" s="2" customFormat="1" ht="19.5" customHeight="1">
      <c r="A151" s="12"/>
      <c r="B151" s="17" t="s">
        <v>6</v>
      </c>
      <c r="C151" s="18">
        <f t="shared" si="22"/>
        <v>985349.1000300001</v>
      </c>
      <c r="D151" s="18">
        <f>(52260000)/1000</f>
        <v>52260</v>
      </c>
      <c r="E151" s="18">
        <f>(70506000+1100000)/1000</f>
        <v>71606</v>
      </c>
      <c r="F151" s="19">
        <f t="shared" si="23"/>
        <v>966003.1000300001</v>
      </c>
    </row>
    <row r="152" spans="1:6" s="2" customFormat="1" ht="19.5" customHeight="1">
      <c r="A152" s="12"/>
      <c r="B152" s="17" t="s">
        <v>7</v>
      </c>
      <c r="C152" s="18">
        <f t="shared" si="22"/>
        <v>966003.1000300001</v>
      </c>
      <c r="D152" s="18">
        <f>(60000000)/1000</f>
        <v>60000</v>
      </c>
      <c r="E152" s="18">
        <f>(50835000+7447000)/1000</f>
        <v>58282</v>
      </c>
      <c r="F152" s="19">
        <f t="shared" si="23"/>
        <v>967721.1000300001</v>
      </c>
    </row>
    <row r="153" spans="1:6" s="2" customFormat="1" ht="19.5" customHeight="1">
      <c r="A153" s="12"/>
      <c r="B153" s="17" t="s">
        <v>8</v>
      </c>
      <c r="C153" s="18">
        <f t="shared" si="22"/>
        <v>967721.1000300001</v>
      </c>
      <c r="D153" s="18">
        <f>(130377000.05)/1000</f>
        <v>130377.00005</v>
      </c>
      <c r="E153" s="18">
        <f>(45715100+14803000+63537300)/1000</f>
        <v>124055.4</v>
      </c>
      <c r="F153" s="19">
        <f t="shared" si="23"/>
        <v>974042.70008</v>
      </c>
    </row>
    <row r="154" spans="1:6" s="2" customFormat="1" ht="19.5" customHeight="1">
      <c r="A154" s="12"/>
      <c r="B154" s="17" t="s">
        <v>9</v>
      </c>
      <c r="C154" s="18">
        <f t="shared" si="22"/>
        <v>974042.70008</v>
      </c>
      <c r="D154" s="18">
        <f>(67230000)/1000</f>
        <v>67230</v>
      </c>
      <c r="E154" s="18">
        <f>(49940000)/1000</f>
        <v>49940</v>
      </c>
      <c r="F154" s="19">
        <f t="shared" si="23"/>
        <v>991332.70008</v>
      </c>
    </row>
    <row r="155" spans="1:6" s="2" customFormat="1" ht="9.75" customHeight="1" thickBot="1">
      <c r="A155" s="29"/>
      <c r="B155" s="35"/>
      <c r="C155" s="36"/>
      <c r="D155" s="36"/>
      <c r="E155" s="36"/>
      <c r="F155" s="37"/>
    </row>
    <row r="156" spans="1:6" ht="12" customHeight="1">
      <c r="A156" s="73" t="s">
        <v>26</v>
      </c>
      <c r="B156" s="73"/>
      <c r="C156" s="73"/>
      <c r="D156" s="73"/>
      <c r="E156" s="73"/>
      <c r="F156" s="73"/>
    </row>
    <row r="157" spans="1:6" ht="12" customHeight="1">
      <c r="A157" s="52"/>
      <c r="B157" s="52"/>
      <c r="C157" s="52"/>
      <c r="D157" s="52"/>
      <c r="E157" s="52"/>
      <c r="F157" s="52"/>
    </row>
    <row r="158" spans="1:6" ht="12" customHeight="1">
      <c r="A158" s="72"/>
      <c r="B158" s="72"/>
      <c r="C158" s="72"/>
      <c r="D158" s="72"/>
      <c r="E158" s="72"/>
      <c r="F158" s="72"/>
    </row>
    <row r="159" spans="1:9" ht="11.25" customHeight="1">
      <c r="A159" s="52"/>
      <c r="B159" s="52"/>
      <c r="C159" s="52"/>
      <c r="D159" s="52"/>
      <c r="E159" s="52"/>
      <c r="F159" s="52"/>
      <c r="G159" s="38"/>
      <c r="H159" s="38"/>
      <c r="I159" s="38"/>
    </row>
    <row r="160" spans="1:9" ht="11.25" customHeight="1">
      <c r="A160" s="52"/>
      <c r="B160" s="52"/>
      <c r="C160" s="52"/>
      <c r="D160" s="52"/>
      <c r="E160" s="52"/>
      <c r="F160" s="52"/>
      <c r="G160" s="38"/>
      <c r="H160" s="38"/>
      <c r="I160" s="38"/>
    </row>
    <row r="161" spans="1:9" ht="11.25" customHeight="1">
      <c r="A161" s="52"/>
      <c r="B161" s="52"/>
      <c r="C161" s="52"/>
      <c r="D161" s="52"/>
      <c r="E161" s="52"/>
      <c r="F161" s="52"/>
      <c r="G161" s="39"/>
      <c r="H161" s="39"/>
      <c r="I161" s="39"/>
    </row>
    <row r="162" spans="1:9" ht="12.75" customHeight="1">
      <c r="A162" s="52"/>
      <c r="B162" s="52"/>
      <c r="C162" s="52"/>
      <c r="D162" s="52"/>
      <c r="E162" s="52"/>
      <c r="F162" s="52"/>
      <c r="G162" s="39"/>
      <c r="H162" s="39"/>
      <c r="I162" s="39"/>
    </row>
    <row r="163" spans="1:6" ht="12" customHeight="1">
      <c r="A163" s="52"/>
      <c r="B163" s="52"/>
      <c r="C163" s="52"/>
      <c r="D163" s="52"/>
      <c r="E163" s="52"/>
      <c r="F163" s="52"/>
    </row>
    <row r="164" spans="1:6" ht="12" customHeight="1">
      <c r="A164" s="52"/>
      <c r="B164" s="52"/>
      <c r="C164" s="52"/>
      <c r="D164" s="52"/>
      <c r="E164" s="52"/>
      <c r="F164" s="52"/>
    </row>
    <row r="165" spans="1:7" ht="12" customHeight="1">
      <c r="A165" s="52"/>
      <c r="B165" s="52"/>
      <c r="C165" s="52"/>
      <c r="D165" s="52"/>
      <c r="E165" s="52"/>
      <c r="F165" s="52"/>
      <c r="G165" s="40"/>
    </row>
    <row r="166" spans="1:7" ht="12" customHeight="1">
      <c r="A166" s="52"/>
      <c r="B166" s="52"/>
      <c r="C166" s="52"/>
      <c r="D166" s="52"/>
      <c r="E166" s="52"/>
      <c r="F166" s="52"/>
      <c r="G166" s="40"/>
    </row>
    <row r="167" spans="1:6" ht="12" customHeight="1">
      <c r="A167" s="52"/>
      <c r="B167" s="52"/>
      <c r="C167" s="52"/>
      <c r="D167" s="52"/>
      <c r="E167" s="52"/>
      <c r="F167" s="52"/>
    </row>
    <row r="168" spans="1:7" ht="12" customHeight="1">
      <c r="A168" s="52"/>
      <c r="B168" s="52"/>
      <c r="C168" s="52"/>
      <c r="D168" s="52"/>
      <c r="E168" s="52"/>
      <c r="F168" s="52"/>
      <c r="G168" s="40"/>
    </row>
    <row r="169" spans="1:7" ht="23.25" customHeight="1">
      <c r="A169" s="52"/>
      <c r="B169" s="52"/>
      <c r="C169" s="52"/>
      <c r="D169" s="52"/>
      <c r="E169" s="52"/>
      <c r="F169" s="52"/>
      <c r="G169" s="40"/>
    </row>
    <row r="170" spans="1:7" ht="12" customHeight="1">
      <c r="A170" s="52"/>
      <c r="B170" s="52"/>
      <c r="C170" s="52"/>
      <c r="D170" s="52"/>
      <c r="E170" s="52"/>
      <c r="F170" s="52"/>
      <c r="G170" s="40"/>
    </row>
    <row r="171" spans="1:7" ht="12" customHeight="1">
      <c r="A171" s="52"/>
      <c r="B171" s="52"/>
      <c r="C171" s="52"/>
      <c r="D171" s="52"/>
      <c r="E171" s="52"/>
      <c r="F171" s="52"/>
      <c r="G171" s="40"/>
    </row>
    <row r="172" spans="1:7" ht="12" customHeight="1">
      <c r="A172" s="52"/>
      <c r="B172" s="52"/>
      <c r="C172" s="52"/>
      <c r="D172" s="52"/>
      <c r="E172" s="52"/>
      <c r="F172" s="52"/>
      <c r="G172" s="40"/>
    </row>
    <row r="173" spans="1:7" ht="12" customHeight="1">
      <c r="A173" s="52"/>
      <c r="B173" s="52"/>
      <c r="C173" s="52"/>
      <c r="D173" s="52"/>
      <c r="E173" s="52"/>
      <c r="F173" s="52"/>
      <c r="G173" s="40"/>
    </row>
    <row r="174" spans="1:7" ht="12" customHeight="1">
      <c r="A174" s="52"/>
      <c r="B174" s="52"/>
      <c r="C174" s="52"/>
      <c r="D174" s="52"/>
      <c r="E174" s="52"/>
      <c r="F174" s="52"/>
      <c r="G174" s="40"/>
    </row>
    <row r="175" spans="1:7" ht="12" customHeight="1">
      <c r="A175" s="52"/>
      <c r="B175" s="52"/>
      <c r="C175" s="52"/>
      <c r="D175" s="52"/>
      <c r="E175" s="52"/>
      <c r="F175" s="52"/>
      <c r="G175" s="40"/>
    </row>
    <row r="176" spans="1:7" ht="12" customHeight="1">
      <c r="A176" s="52"/>
      <c r="B176" s="52"/>
      <c r="C176" s="52"/>
      <c r="D176" s="52"/>
      <c r="E176" s="52"/>
      <c r="F176" s="52"/>
      <c r="G176" s="40"/>
    </row>
    <row r="177" spans="1:6" ht="12.75">
      <c r="A177" s="41"/>
      <c r="B177" s="41"/>
      <c r="C177" s="41"/>
      <c r="D177" s="41"/>
      <c r="E177" s="42"/>
      <c r="F177" s="43"/>
    </row>
    <row r="178" spans="2:6" ht="12.75">
      <c r="B178" s="65"/>
      <c r="C178" s="65"/>
      <c r="D178" s="65"/>
      <c r="E178" s="65"/>
      <c r="F178" s="65"/>
    </row>
    <row r="181" ht="12.75">
      <c r="E181" s="45"/>
    </row>
    <row r="182" ht="12.75">
      <c r="E182" s="45"/>
    </row>
  </sheetData>
  <sheetProtection/>
  <mergeCells count="45">
    <mergeCell ref="A103:B103"/>
    <mergeCell ref="A129:B129"/>
    <mergeCell ref="A156:F156"/>
    <mergeCell ref="A171:F171"/>
    <mergeCell ref="A176:F176"/>
    <mergeCell ref="A175:F175"/>
    <mergeCell ref="A173:F173"/>
    <mergeCell ref="A174:F174"/>
    <mergeCell ref="A142:B142"/>
    <mergeCell ref="A12:B15"/>
    <mergeCell ref="A160:F160"/>
    <mergeCell ref="A158:F158"/>
    <mergeCell ref="A161:F161"/>
    <mergeCell ref="A157:F157"/>
    <mergeCell ref="A170:F170"/>
    <mergeCell ref="A38:B38"/>
    <mergeCell ref="A169:F169"/>
    <mergeCell ref="A163:F163"/>
    <mergeCell ref="A116:B116"/>
    <mergeCell ref="B178:F178"/>
    <mergeCell ref="A164:F164"/>
    <mergeCell ref="A166:F166"/>
    <mergeCell ref="A168:F168"/>
    <mergeCell ref="A165:F165"/>
    <mergeCell ref="A172:F172"/>
    <mergeCell ref="A1:B1"/>
    <mergeCell ref="A4:B4"/>
    <mergeCell ref="A25:B25"/>
    <mergeCell ref="A2:B2"/>
    <mergeCell ref="A6:B6"/>
    <mergeCell ref="A10:F10"/>
    <mergeCell ref="A3:B3"/>
    <mergeCell ref="C12:F13"/>
    <mergeCell ref="A8:F8"/>
    <mergeCell ref="A7:B7"/>
    <mergeCell ref="A9:F9"/>
    <mergeCell ref="A167:F167"/>
    <mergeCell ref="A5:B5"/>
    <mergeCell ref="A11:F11"/>
    <mergeCell ref="A162:F162"/>
    <mergeCell ref="A77:B77"/>
    <mergeCell ref="A51:B51"/>
    <mergeCell ref="A159:F159"/>
    <mergeCell ref="A16:B16"/>
    <mergeCell ref="A90:B90"/>
  </mergeCells>
  <printOptions horizontalCentered="1"/>
  <pageMargins left="0.17" right="0.16" top="0.26" bottom="0.32" header="0" footer="0.16"/>
  <pageSetup horizontalDpi="300" verticalDpi="300" orientation="portrait" scale="60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mhdgt01</dc:creator>
  <cp:keywords/>
  <dc:description/>
  <cp:lastModifiedBy>Max Anaya</cp:lastModifiedBy>
  <cp:lastPrinted>2020-01-13T16:11:56Z</cp:lastPrinted>
  <dcterms:created xsi:type="dcterms:W3CDTF">2007-02-02T17:54:22Z</dcterms:created>
  <dcterms:modified xsi:type="dcterms:W3CDTF">2020-01-13T16:12:08Z</dcterms:modified>
  <cp:category/>
  <cp:version/>
  <cp:contentType/>
  <cp:contentStatus/>
</cp:coreProperties>
</file>